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ustapha\Documents\Buro Tweebos\Cooplink\Keurmerk\Delen\"/>
    </mc:Choice>
  </mc:AlternateContent>
  <xr:revisionPtr revIDLastSave="0" documentId="8_{DDD99268-8F57-4DEE-88F4-3A77ABBEF5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ntwikkelfase" sheetId="20" r:id="rId1"/>
    <sheet name="Annuiteiten" sheetId="2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20" l="1"/>
  <c r="B7" i="21"/>
  <c r="B11" i="21"/>
  <c r="H40" i="20"/>
  <c r="C8" i="20"/>
  <c r="C12" i="20" s="1"/>
  <c r="C40" i="20"/>
  <c r="B15" i="21" s="1"/>
  <c r="H36" i="20"/>
  <c r="H32" i="20"/>
  <c r="A15" i="21" s="1"/>
  <c r="H28" i="20"/>
  <c r="A11" i="21" s="1"/>
  <c r="H24" i="20"/>
  <c r="A7" i="21" s="1"/>
  <c r="H19" i="20"/>
  <c r="A3" i="21" s="1"/>
  <c r="F37" i="20"/>
  <c r="L5" i="20" l="1"/>
  <c r="X5" i="20"/>
  <c r="AB5" i="20"/>
  <c r="AF5" i="20"/>
  <c r="M5" i="20"/>
  <c r="U5" i="20"/>
  <c r="AC5" i="20"/>
  <c r="AK5" i="20"/>
  <c r="J5" i="20"/>
  <c r="N5" i="20"/>
  <c r="R5" i="20"/>
  <c r="V5" i="20"/>
  <c r="Z5" i="20"/>
  <c r="AD5" i="20"/>
  <c r="AH5" i="20"/>
  <c r="AL5" i="20"/>
  <c r="P5" i="20"/>
  <c r="T5" i="20"/>
  <c r="AJ5" i="20"/>
  <c r="I5" i="20"/>
  <c r="Q5" i="20"/>
  <c r="Y5" i="20"/>
  <c r="AG5" i="20"/>
  <c r="K5" i="20"/>
  <c r="O5" i="20"/>
  <c r="S5" i="20"/>
  <c r="W5" i="20"/>
  <c r="AA5" i="20"/>
  <c r="AE5" i="20"/>
  <c r="AI5" i="20"/>
  <c r="C26" i="20" l="1"/>
  <c r="C17" i="20"/>
  <c r="I13" i="20" s="1"/>
  <c r="C13" i="20"/>
  <c r="C22" i="20"/>
  <c r="C30" i="20" l="1"/>
  <c r="C29" i="20"/>
  <c r="C31" i="20"/>
  <c r="B21" i="21"/>
  <c r="B19" i="21"/>
  <c r="D21" i="21" l="1"/>
  <c r="C32" i="20"/>
  <c r="C33" i="20" s="1"/>
  <c r="F19" i="21"/>
  <c r="I36" i="20" s="1"/>
  <c r="C34" i="20" l="1"/>
  <c r="C37" i="20" s="1"/>
  <c r="C48" i="20"/>
  <c r="D48" i="20" s="1"/>
  <c r="F20" i="21"/>
  <c r="D34" i="20" l="1"/>
  <c r="I37" i="20"/>
  <c r="F15" i="21"/>
  <c r="F7" i="21"/>
  <c r="I24" i="20" s="1"/>
  <c r="F11" i="21"/>
  <c r="D13" i="21"/>
  <c r="I21" i="20"/>
  <c r="B3" i="21"/>
  <c r="C44" i="20"/>
  <c r="F21" i="21"/>
  <c r="F12" i="21" l="1"/>
  <c r="I29" i="20" s="1"/>
  <c r="I28" i="20"/>
  <c r="G19" i="21"/>
  <c r="J36" i="20" s="1"/>
  <c r="I38" i="20"/>
  <c r="F13" i="21"/>
  <c r="F3" i="21"/>
  <c r="G20" i="21"/>
  <c r="G11" i="21" l="1"/>
  <c r="J28" i="20" s="1"/>
  <c r="I30" i="20"/>
  <c r="J37" i="20"/>
  <c r="G12" i="21"/>
  <c r="G21" i="21"/>
  <c r="G13" i="21" l="1"/>
  <c r="J29" i="20"/>
  <c r="J38" i="20"/>
  <c r="H19" i="21"/>
  <c r="H11" i="21" l="1"/>
  <c r="J30" i="20"/>
  <c r="K36" i="20"/>
  <c r="H20" i="21"/>
  <c r="H12" i="21" l="1"/>
  <c r="K28" i="20"/>
  <c r="H21" i="21"/>
  <c r="K38" i="20" s="1"/>
  <c r="K37" i="20"/>
  <c r="H13" i="21" l="1"/>
  <c r="K29" i="20"/>
  <c r="I19" i="21"/>
  <c r="L36" i="20" s="1"/>
  <c r="I20" i="21" l="1"/>
  <c r="L37" i="20" s="1"/>
  <c r="I11" i="21"/>
  <c r="K30" i="20"/>
  <c r="I21" i="21"/>
  <c r="L38" i="20" s="1"/>
  <c r="I12" i="21" l="1"/>
  <c r="L28" i="20"/>
  <c r="J19" i="21"/>
  <c r="M36" i="20" s="1"/>
  <c r="I13" i="21" l="1"/>
  <c r="L29" i="20"/>
  <c r="J20" i="21"/>
  <c r="M37" i="20" s="1"/>
  <c r="J11" i="21" l="1"/>
  <c r="L30" i="20"/>
  <c r="J21" i="21"/>
  <c r="M38" i="20" s="1"/>
  <c r="J12" i="21" l="1"/>
  <c r="M28" i="20"/>
  <c r="K19" i="21"/>
  <c r="N36" i="20" s="1"/>
  <c r="J13" i="21" l="1"/>
  <c r="M29" i="20"/>
  <c r="K20" i="21"/>
  <c r="N37" i="20" s="1"/>
  <c r="K11" i="21" l="1"/>
  <c r="M30" i="20"/>
  <c r="K21" i="21"/>
  <c r="N38" i="20" s="1"/>
  <c r="K12" i="21" l="1"/>
  <c r="N28" i="20"/>
  <c r="L19" i="21"/>
  <c r="O36" i="20" s="1"/>
  <c r="K13" i="21" l="1"/>
  <c r="N29" i="20"/>
  <c r="L20" i="21"/>
  <c r="O37" i="20" s="1"/>
  <c r="L11" i="21" l="1"/>
  <c r="N30" i="20"/>
  <c r="L21" i="21"/>
  <c r="O38" i="20" s="1"/>
  <c r="L12" i="21" l="1"/>
  <c r="O28" i="20"/>
  <c r="M19" i="21"/>
  <c r="P36" i="20" s="1"/>
  <c r="L13" i="21" l="1"/>
  <c r="O29" i="20"/>
  <c r="M20" i="21"/>
  <c r="P37" i="20" s="1"/>
  <c r="M11" i="21" l="1"/>
  <c r="O30" i="20"/>
  <c r="M21" i="21"/>
  <c r="P38" i="20" s="1"/>
  <c r="P28" i="20" l="1"/>
  <c r="M12" i="21"/>
  <c r="N19" i="21"/>
  <c r="Q36" i="20" s="1"/>
  <c r="M13" i="21" l="1"/>
  <c r="P29" i="20"/>
  <c r="N20" i="21"/>
  <c r="Q37" i="20" s="1"/>
  <c r="P30" i="20" l="1"/>
  <c r="N11" i="21"/>
  <c r="N21" i="21"/>
  <c r="Q38" i="20" s="1"/>
  <c r="N12" i="21" l="1"/>
  <c r="Q28" i="20"/>
  <c r="O19" i="21"/>
  <c r="R36" i="20" s="1"/>
  <c r="N13" i="21" l="1"/>
  <c r="Q29" i="20"/>
  <c r="O20" i="21"/>
  <c r="R37" i="20" s="1"/>
  <c r="O11" i="21" l="1"/>
  <c r="Q30" i="20"/>
  <c r="O21" i="21"/>
  <c r="R38" i="20" s="1"/>
  <c r="C51" i="20"/>
  <c r="I14" i="20"/>
  <c r="D20" i="20"/>
  <c r="J13" i="20"/>
  <c r="E34" i="20"/>
  <c r="R28" i="20" l="1"/>
  <c r="O12" i="21"/>
  <c r="D18" i="20"/>
  <c r="P19" i="21"/>
  <c r="S36" i="20" s="1"/>
  <c r="J14" i="20"/>
  <c r="K14" i="20" s="1"/>
  <c r="L14" i="20" s="1"/>
  <c r="M14" i="20" s="1"/>
  <c r="N14" i="20" s="1"/>
  <c r="O14" i="20" s="1"/>
  <c r="P14" i="20" s="1"/>
  <c r="Q14" i="20" s="1"/>
  <c r="R14" i="20" s="1"/>
  <c r="S14" i="20" s="1"/>
  <c r="T14" i="20" s="1"/>
  <c r="U14" i="20" s="1"/>
  <c r="V14" i="20" s="1"/>
  <c r="W14" i="20" s="1"/>
  <c r="X14" i="20" s="1"/>
  <c r="Y14" i="20" s="1"/>
  <c r="Z14" i="20" s="1"/>
  <c r="AA14" i="20" s="1"/>
  <c r="AB14" i="20" s="1"/>
  <c r="AC14" i="20" s="1"/>
  <c r="AD14" i="20" s="1"/>
  <c r="AE14" i="20" s="1"/>
  <c r="AF14" i="20" s="1"/>
  <c r="AG14" i="20" s="1"/>
  <c r="AH14" i="20" s="1"/>
  <c r="AI14" i="20" s="1"/>
  <c r="AJ14" i="20" s="1"/>
  <c r="AK14" i="20" s="1"/>
  <c r="AL14" i="20" s="1"/>
  <c r="J12" i="20"/>
  <c r="K12" i="20" s="1"/>
  <c r="L12" i="20" s="1"/>
  <c r="M12" i="20" s="1"/>
  <c r="N12" i="20" s="1"/>
  <c r="O12" i="20" s="1"/>
  <c r="P12" i="20" s="1"/>
  <c r="Q12" i="20" s="1"/>
  <c r="R12" i="20" s="1"/>
  <c r="S12" i="20" s="1"/>
  <c r="T12" i="20" s="1"/>
  <c r="U12" i="20" s="1"/>
  <c r="V12" i="20" s="1"/>
  <c r="W12" i="20" s="1"/>
  <c r="X12" i="20" s="1"/>
  <c r="Y12" i="20" s="1"/>
  <c r="Z12" i="20" s="1"/>
  <c r="AA12" i="20" s="1"/>
  <c r="AB12" i="20" s="1"/>
  <c r="AC12" i="20" s="1"/>
  <c r="AD12" i="20" s="1"/>
  <c r="AE12" i="20" s="1"/>
  <c r="AF12" i="20" s="1"/>
  <c r="AG12" i="20" s="1"/>
  <c r="AH12" i="20" s="1"/>
  <c r="AI12" i="20" s="1"/>
  <c r="AJ12" i="20" s="1"/>
  <c r="AK12" i="20" s="1"/>
  <c r="AL12" i="20" s="1"/>
  <c r="I6" i="20"/>
  <c r="J6" i="20" s="1"/>
  <c r="K6" i="20" s="1"/>
  <c r="L6" i="20" s="1"/>
  <c r="M6" i="20" s="1"/>
  <c r="N6" i="20" s="1"/>
  <c r="O6" i="20" s="1"/>
  <c r="P6" i="20" s="1"/>
  <c r="Q6" i="20" s="1"/>
  <c r="R6" i="20" s="1"/>
  <c r="S6" i="20" s="1"/>
  <c r="T6" i="20" s="1"/>
  <c r="U6" i="20" s="1"/>
  <c r="V6" i="20" s="1"/>
  <c r="W6" i="20" s="1"/>
  <c r="X6" i="20" s="1"/>
  <c r="Y6" i="20" s="1"/>
  <c r="Z6" i="20" s="1"/>
  <c r="AA6" i="20" s="1"/>
  <c r="AB6" i="20" s="1"/>
  <c r="AC6" i="20" s="1"/>
  <c r="AD6" i="20" s="1"/>
  <c r="AE6" i="20" s="1"/>
  <c r="AF6" i="20" s="1"/>
  <c r="AG6" i="20" s="1"/>
  <c r="AH6" i="20" s="1"/>
  <c r="AI6" i="20" s="1"/>
  <c r="AJ6" i="20" s="1"/>
  <c r="AK6" i="20" s="1"/>
  <c r="AL6" i="20" s="1"/>
  <c r="J3" i="20"/>
  <c r="K3" i="20" s="1"/>
  <c r="L3" i="20" s="1"/>
  <c r="M3" i="20" s="1"/>
  <c r="N3" i="20" s="1"/>
  <c r="O3" i="20" s="1"/>
  <c r="P3" i="20" s="1"/>
  <c r="Q3" i="20" s="1"/>
  <c r="R3" i="20" s="1"/>
  <c r="S3" i="20" s="1"/>
  <c r="T3" i="20" s="1"/>
  <c r="U3" i="20" s="1"/>
  <c r="V3" i="20" s="1"/>
  <c r="W3" i="20" s="1"/>
  <c r="X3" i="20" s="1"/>
  <c r="Y3" i="20" s="1"/>
  <c r="Z3" i="20" s="1"/>
  <c r="AA3" i="20" s="1"/>
  <c r="AB3" i="20" s="1"/>
  <c r="AC3" i="20" s="1"/>
  <c r="AD3" i="20" s="1"/>
  <c r="AE3" i="20" s="1"/>
  <c r="AF3" i="20" s="1"/>
  <c r="AG3" i="20" s="1"/>
  <c r="AH3" i="20" s="1"/>
  <c r="AI3" i="20" s="1"/>
  <c r="AJ3" i="20" s="1"/>
  <c r="AK3" i="20" s="1"/>
  <c r="AL3" i="20" s="1"/>
  <c r="O13" i="21" l="1"/>
  <c r="R29" i="20"/>
  <c r="B5" i="21"/>
  <c r="AL4" i="20"/>
  <c r="AH4" i="20"/>
  <c r="AD4" i="20"/>
  <c r="Z4" i="20"/>
  <c r="V4" i="20"/>
  <c r="R4" i="20"/>
  <c r="N4" i="20"/>
  <c r="J4" i="20"/>
  <c r="AJ4" i="20"/>
  <c r="AB4" i="20"/>
  <c r="X4" i="20"/>
  <c r="T4" i="20"/>
  <c r="P4" i="20"/>
  <c r="L4" i="20"/>
  <c r="AI4" i="20"/>
  <c r="AE4" i="20"/>
  <c r="W4" i="20"/>
  <c r="S4" i="20"/>
  <c r="O4" i="20"/>
  <c r="K4" i="20"/>
  <c r="AK4" i="20"/>
  <c r="AG4" i="20"/>
  <c r="AC4" i="20"/>
  <c r="Y4" i="20"/>
  <c r="U4" i="20"/>
  <c r="Q4" i="20"/>
  <c r="M4" i="20"/>
  <c r="I4" i="20"/>
  <c r="AF4" i="20"/>
  <c r="AA4" i="20"/>
  <c r="P20" i="21"/>
  <c r="S37" i="20" s="1"/>
  <c r="D5" i="21" l="1"/>
  <c r="F4" i="21"/>
  <c r="P11" i="21"/>
  <c r="R30" i="20"/>
  <c r="P21" i="21"/>
  <c r="S38" i="20" s="1"/>
  <c r="D43" i="20"/>
  <c r="D38" i="20"/>
  <c r="D39" i="20"/>
  <c r="D40" i="20"/>
  <c r="D41" i="20"/>
  <c r="D42" i="20"/>
  <c r="F5" i="21" l="1"/>
  <c r="G3" i="21" s="1"/>
  <c r="G4" i="21" s="1"/>
  <c r="G5" i="21" s="1"/>
  <c r="H3" i="21" s="1"/>
  <c r="H4" i="21" s="1"/>
  <c r="H5" i="21" s="1"/>
  <c r="I3" i="21" s="1"/>
  <c r="I4" i="21" s="1"/>
  <c r="I5" i="21" s="1"/>
  <c r="J3" i="21" s="1"/>
  <c r="J4" i="21" s="1"/>
  <c r="J5" i="21" s="1"/>
  <c r="K3" i="21" s="1"/>
  <c r="K4" i="21" s="1"/>
  <c r="K5" i="21" s="1"/>
  <c r="L3" i="21" s="1"/>
  <c r="L4" i="21" s="1"/>
  <c r="L5" i="21" s="1"/>
  <c r="M3" i="21" s="1"/>
  <c r="M4" i="21" s="1"/>
  <c r="M5" i="21" s="1"/>
  <c r="N3" i="21" s="1"/>
  <c r="N4" i="21" s="1"/>
  <c r="N5" i="21" s="1"/>
  <c r="O3" i="21" s="1"/>
  <c r="O4" i="21" s="1"/>
  <c r="O5" i="21" s="1"/>
  <c r="P3" i="21" s="1"/>
  <c r="P4" i="21" s="1"/>
  <c r="P5" i="21" s="1"/>
  <c r="Q3" i="21" s="1"/>
  <c r="Q4" i="21" s="1"/>
  <c r="Q5" i="21" s="1"/>
  <c r="R3" i="21" s="1"/>
  <c r="R4" i="21" s="1"/>
  <c r="R5" i="21" s="1"/>
  <c r="S3" i="21" s="1"/>
  <c r="S4" i="21" s="1"/>
  <c r="S5" i="21" s="1"/>
  <c r="T3" i="21" s="1"/>
  <c r="T4" i="21" s="1"/>
  <c r="T5" i="21" s="1"/>
  <c r="U3" i="21" s="1"/>
  <c r="U4" i="21" s="1"/>
  <c r="U5" i="21" s="1"/>
  <c r="V3" i="21" s="1"/>
  <c r="V4" i="21" s="1"/>
  <c r="V5" i="21" s="1"/>
  <c r="W3" i="21" s="1"/>
  <c r="W4" i="21" s="1"/>
  <c r="W5" i="21" s="1"/>
  <c r="X3" i="21" s="1"/>
  <c r="X4" i="21" s="1"/>
  <c r="X5" i="21" s="1"/>
  <c r="Y3" i="21" s="1"/>
  <c r="Y4" i="21" s="1"/>
  <c r="Y5" i="21" s="1"/>
  <c r="Z3" i="21" s="1"/>
  <c r="Z4" i="21" s="1"/>
  <c r="Z5" i="21" s="1"/>
  <c r="AA3" i="21" s="1"/>
  <c r="AA4" i="21" s="1"/>
  <c r="AA5" i="21" s="1"/>
  <c r="AB3" i="21" s="1"/>
  <c r="AB4" i="21" s="1"/>
  <c r="AB5" i="21" s="1"/>
  <c r="AC3" i="21" s="1"/>
  <c r="AC4" i="21" s="1"/>
  <c r="AC5" i="21" s="1"/>
  <c r="AD3" i="21" s="1"/>
  <c r="AD4" i="21" s="1"/>
  <c r="AD5" i="21" s="1"/>
  <c r="AE3" i="21" s="1"/>
  <c r="AE4" i="21" s="1"/>
  <c r="AE5" i="21" s="1"/>
  <c r="AF3" i="21" s="1"/>
  <c r="AF4" i="21" s="1"/>
  <c r="AF5" i="21" s="1"/>
  <c r="AG3" i="21" s="1"/>
  <c r="AG4" i="21" s="1"/>
  <c r="AG5" i="21" s="1"/>
  <c r="AH3" i="21" s="1"/>
  <c r="AH4" i="21" s="1"/>
  <c r="AH5" i="21" s="1"/>
  <c r="AI3" i="21" s="1"/>
  <c r="AI4" i="21" s="1"/>
  <c r="AI5" i="21" s="1"/>
  <c r="P12" i="21"/>
  <c r="S28" i="20"/>
  <c r="D9" i="21"/>
  <c r="F8" i="21"/>
  <c r="I25" i="20" s="1"/>
  <c r="D17" i="21"/>
  <c r="F16" i="21"/>
  <c r="Q19" i="21"/>
  <c r="T36" i="20" s="1"/>
  <c r="D44" i="20"/>
  <c r="I15" i="20"/>
  <c r="P13" i="21" l="1"/>
  <c r="S29" i="20"/>
  <c r="F17" i="21"/>
  <c r="G15" i="21" s="1"/>
  <c r="F9" i="21"/>
  <c r="Q20" i="21"/>
  <c r="T37" i="20" s="1"/>
  <c r="J15" i="20"/>
  <c r="K15" i="20" s="1"/>
  <c r="L15" i="20" s="1"/>
  <c r="M15" i="20" s="1"/>
  <c r="N15" i="20" s="1"/>
  <c r="O15" i="20" s="1"/>
  <c r="P15" i="20" s="1"/>
  <c r="Q15" i="20" s="1"/>
  <c r="R15" i="20" s="1"/>
  <c r="S15" i="20" s="1"/>
  <c r="T15" i="20" s="1"/>
  <c r="U15" i="20" s="1"/>
  <c r="V15" i="20" s="1"/>
  <c r="W15" i="20" s="1"/>
  <c r="X15" i="20" s="1"/>
  <c r="Y15" i="20" s="1"/>
  <c r="Z15" i="20" s="1"/>
  <c r="AA15" i="20" s="1"/>
  <c r="AB15" i="20" s="1"/>
  <c r="AC15" i="20" s="1"/>
  <c r="AD15" i="20" s="1"/>
  <c r="AE15" i="20" s="1"/>
  <c r="AF15" i="20" s="1"/>
  <c r="AG15" i="20" s="1"/>
  <c r="AH15" i="20" s="1"/>
  <c r="AI15" i="20" s="1"/>
  <c r="AJ15" i="20" s="1"/>
  <c r="AK15" i="20" s="1"/>
  <c r="AL15" i="20" s="1"/>
  <c r="I17" i="20"/>
  <c r="Q11" i="21" l="1"/>
  <c r="S30" i="20"/>
  <c r="G7" i="21"/>
  <c r="I26" i="20"/>
  <c r="G16" i="21"/>
  <c r="G17" i="21" s="1"/>
  <c r="H15" i="21" s="1"/>
  <c r="H16" i="21" s="1"/>
  <c r="H17" i="21" s="1"/>
  <c r="I15" i="21" s="1"/>
  <c r="I16" i="21" s="1"/>
  <c r="I17" i="21" s="1"/>
  <c r="J15" i="21" s="1"/>
  <c r="Q21" i="21"/>
  <c r="T38" i="20" s="1"/>
  <c r="C47" i="20"/>
  <c r="D47" i="20" s="1"/>
  <c r="I11" i="20"/>
  <c r="J11" i="20" s="1"/>
  <c r="K11" i="20" s="1"/>
  <c r="L11" i="20" s="1"/>
  <c r="M11" i="20" s="1"/>
  <c r="N11" i="20" s="1"/>
  <c r="O11" i="20" s="1"/>
  <c r="P11" i="20" s="1"/>
  <c r="Q11" i="20" s="1"/>
  <c r="R11" i="20" s="1"/>
  <c r="S11" i="20" s="1"/>
  <c r="T11" i="20" s="1"/>
  <c r="U11" i="20" s="1"/>
  <c r="V11" i="20" s="1"/>
  <c r="W11" i="20" s="1"/>
  <c r="X11" i="20" s="1"/>
  <c r="Y11" i="20" s="1"/>
  <c r="Z11" i="20" s="1"/>
  <c r="AA11" i="20" s="1"/>
  <c r="AB11" i="20" s="1"/>
  <c r="AC11" i="20" s="1"/>
  <c r="AD11" i="20" s="1"/>
  <c r="AE11" i="20" s="1"/>
  <c r="AF11" i="20" s="1"/>
  <c r="AG11" i="20" s="1"/>
  <c r="AH11" i="20" s="1"/>
  <c r="AI11" i="20" s="1"/>
  <c r="AJ11" i="20" s="1"/>
  <c r="AK11" i="20" s="1"/>
  <c r="AL11" i="20" s="1"/>
  <c r="D19" i="20"/>
  <c r="Q12" i="21" l="1"/>
  <c r="T28" i="20"/>
  <c r="G8" i="21"/>
  <c r="J24" i="20"/>
  <c r="J16" i="21"/>
  <c r="J17" i="21" s="1"/>
  <c r="K15" i="21" s="1"/>
  <c r="R19" i="21"/>
  <c r="U36" i="20" s="1"/>
  <c r="J17" i="20"/>
  <c r="K13" i="20"/>
  <c r="Q13" i="21" l="1"/>
  <c r="T29" i="20"/>
  <c r="G9" i="21"/>
  <c r="J25" i="20"/>
  <c r="K16" i="21"/>
  <c r="K17" i="21" s="1"/>
  <c r="L15" i="21" s="1"/>
  <c r="L16" i="21" s="1"/>
  <c r="L17" i="21" s="1"/>
  <c r="M15" i="21" s="1"/>
  <c r="R20" i="21"/>
  <c r="U37" i="20" s="1"/>
  <c r="C50" i="20"/>
  <c r="AI21" i="20"/>
  <c r="S21" i="20"/>
  <c r="K21" i="20"/>
  <c r="P21" i="20"/>
  <c r="AH21" i="20"/>
  <c r="W21" i="20"/>
  <c r="M21" i="20"/>
  <c r="V21" i="20"/>
  <c r="L21" i="20"/>
  <c r="U21" i="20"/>
  <c r="J21" i="20"/>
  <c r="T21" i="20"/>
  <c r="I19" i="20"/>
  <c r="I46" i="20" s="1"/>
  <c r="R21" i="20"/>
  <c r="AL21" i="20"/>
  <c r="Q21" i="20"/>
  <c r="AJ21" i="20"/>
  <c r="N21" i="20"/>
  <c r="AK21" i="20"/>
  <c r="O21" i="20"/>
  <c r="K17" i="20"/>
  <c r="L13" i="20"/>
  <c r="R11" i="21" l="1"/>
  <c r="T30" i="20"/>
  <c r="H7" i="21"/>
  <c r="J26" i="20"/>
  <c r="M16" i="21"/>
  <c r="M17" i="21" s="1"/>
  <c r="N15" i="21" s="1"/>
  <c r="N16" i="21" s="1"/>
  <c r="N17" i="21" s="1"/>
  <c r="O15" i="21" s="1"/>
  <c r="R21" i="21"/>
  <c r="U38" i="20" s="1"/>
  <c r="I48" i="20"/>
  <c r="I47" i="20"/>
  <c r="I20" i="20"/>
  <c r="J19" i="20"/>
  <c r="L17" i="20"/>
  <c r="M13" i="20"/>
  <c r="R12" i="21" l="1"/>
  <c r="U28" i="20"/>
  <c r="H8" i="21"/>
  <c r="K24" i="20"/>
  <c r="O16" i="21"/>
  <c r="O17" i="21" s="1"/>
  <c r="P15" i="21" s="1"/>
  <c r="P16" i="21" s="1"/>
  <c r="P17" i="21" s="1"/>
  <c r="Q15" i="21" s="1"/>
  <c r="Q16" i="21" s="1"/>
  <c r="Q17" i="21" s="1"/>
  <c r="R15" i="21" s="1"/>
  <c r="R16" i="21" s="1"/>
  <c r="R17" i="21" s="1"/>
  <c r="S15" i="21" s="1"/>
  <c r="S16" i="21" s="1"/>
  <c r="S17" i="21" s="1"/>
  <c r="T15" i="21" s="1"/>
  <c r="T16" i="21" s="1"/>
  <c r="T17" i="21" s="1"/>
  <c r="U15" i="21" s="1"/>
  <c r="S19" i="21"/>
  <c r="V36" i="20" s="1"/>
  <c r="I22" i="20"/>
  <c r="I49" i="20"/>
  <c r="C45" i="20"/>
  <c r="J48" i="20"/>
  <c r="J20" i="20"/>
  <c r="K19" i="20"/>
  <c r="J46" i="20"/>
  <c r="M17" i="20"/>
  <c r="N13" i="20"/>
  <c r="R13" i="21" l="1"/>
  <c r="U29" i="20"/>
  <c r="H9" i="21"/>
  <c r="K25" i="20"/>
  <c r="U16" i="21"/>
  <c r="U17" i="21" s="1"/>
  <c r="V15" i="21" s="1"/>
  <c r="V16" i="21" s="1"/>
  <c r="V17" i="21" s="1"/>
  <c r="W15" i="21" s="1"/>
  <c r="S20" i="21"/>
  <c r="V37" i="20" s="1"/>
  <c r="J22" i="20"/>
  <c r="J49" i="20"/>
  <c r="I43" i="20"/>
  <c r="I44" i="20" s="1"/>
  <c r="D45" i="20"/>
  <c r="J47" i="20"/>
  <c r="K48" i="20"/>
  <c r="K20" i="20"/>
  <c r="L19" i="20"/>
  <c r="K46" i="20"/>
  <c r="N17" i="20"/>
  <c r="O13" i="20"/>
  <c r="S11" i="21" l="1"/>
  <c r="U30" i="20"/>
  <c r="I7" i="21"/>
  <c r="K26" i="20"/>
  <c r="W16" i="21"/>
  <c r="W17" i="21" s="1"/>
  <c r="X15" i="21" s="1"/>
  <c r="X16" i="21" s="1"/>
  <c r="X17" i="21" s="1"/>
  <c r="Y15" i="21" s="1"/>
  <c r="Y16" i="21" s="1"/>
  <c r="Y17" i="21" s="1"/>
  <c r="Z15" i="21" s="1"/>
  <c r="S21" i="21"/>
  <c r="V38" i="20" s="1"/>
  <c r="K22" i="20"/>
  <c r="K49" i="20"/>
  <c r="J43" i="20"/>
  <c r="J44" i="20" s="1"/>
  <c r="O17" i="20"/>
  <c r="P13" i="20"/>
  <c r="L48" i="20"/>
  <c r="L20" i="20"/>
  <c r="M19" i="20"/>
  <c r="L46" i="20"/>
  <c r="K47" i="20"/>
  <c r="S12" i="21" l="1"/>
  <c r="V28" i="20"/>
  <c r="K43" i="20"/>
  <c r="K44" i="20" s="1"/>
  <c r="I8" i="21"/>
  <c r="L24" i="20"/>
  <c r="L47" i="20" s="1"/>
  <c r="Z16" i="21"/>
  <c r="Z17" i="21" s="1"/>
  <c r="AA15" i="21" s="1"/>
  <c r="AA16" i="21" s="1"/>
  <c r="AA17" i="21" s="1"/>
  <c r="AB15" i="21" s="1"/>
  <c r="AB16" i="21" s="1"/>
  <c r="AB17" i="21" s="1"/>
  <c r="AC15" i="21" s="1"/>
  <c r="T19" i="21"/>
  <c r="W36" i="20" s="1"/>
  <c r="L22" i="20"/>
  <c r="L49" i="20"/>
  <c r="M48" i="20"/>
  <c r="N19" i="20"/>
  <c r="M20" i="20"/>
  <c r="M46" i="20"/>
  <c r="P17" i="20"/>
  <c r="Q13" i="20"/>
  <c r="S13" i="21" l="1"/>
  <c r="V29" i="20"/>
  <c r="I9" i="21"/>
  <c r="L25" i="20"/>
  <c r="AC16" i="21"/>
  <c r="AC17" i="21" s="1"/>
  <c r="AD15" i="21" s="1"/>
  <c r="AD16" i="21" s="1"/>
  <c r="AD17" i="21" s="1"/>
  <c r="AE15" i="21" s="1"/>
  <c r="AE16" i="21" s="1"/>
  <c r="AE17" i="21" s="1"/>
  <c r="AF15" i="21" s="1"/>
  <c r="AF16" i="21" s="1"/>
  <c r="AF17" i="21" s="1"/>
  <c r="AG15" i="21" s="1"/>
  <c r="T20" i="21"/>
  <c r="W37" i="20" s="1"/>
  <c r="M22" i="20"/>
  <c r="M49" i="20"/>
  <c r="N20" i="20"/>
  <c r="N48" i="20"/>
  <c r="O19" i="20"/>
  <c r="N46" i="20"/>
  <c r="R13" i="20"/>
  <c r="Q17" i="20"/>
  <c r="T11" i="21" l="1"/>
  <c r="V30" i="20"/>
  <c r="J7" i="21"/>
  <c r="L26" i="20"/>
  <c r="L43" i="20" s="1"/>
  <c r="L44" i="20" s="1"/>
  <c r="AG16" i="21"/>
  <c r="AG17" i="21" s="1"/>
  <c r="AH15" i="21" s="1"/>
  <c r="AH16" i="21" s="1"/>
  <c r="AH17" i="21" s="1"/>
  <c r="AI15" i="21" s="1"/>
  <c r="AI16" i="21" s="1"/>
  <c r="AI17" i="21" s="1"/>
  <c r="T21" i="21"/>
  <c r="W38" i="20" s="1"/>
  <c r="N22" i="20"/>
  <c r="N49" i="20"/>
  <c r="O48" i="20"/>
  <c r="P19" i="20"/>
  <c r="O20" i="20"/>
  <c r="O46" i="20"/>
  <c r="R17" i="20"/>
  <c r="S13" i="20"/>
  <c r="T12" i="21" l="1"/>
  <c r="W28" i="20"/>
  <c r="M24" i="20"/>
  <c r="M47" i="20" s="1"/>
  <c r="J8" i="21"/>
  <c r="U19" i="21"/>
  <c r="X36" i="20" s="1"/>
  <c r="O22" i="20"/>
  <c r="O49" i="20"/>
  <c r="P48" i="20"/>
  <c r="Q19" i="20"/>
  <c r="P20" i="20"/>
  <c r="P46" i="20"/>
  <c r="S17" i="20"/>
  <c r="T13" i="20"/>
  <c r="T13" i="21" l="1"/>
  <c r="W29" i="20"/>
  <c r="J9" i="21"/>
  <c r="M25" i="20"/>
  <c r="U20" i="21"/>
  <c r="X37" i="20" s="1"/>
  <c r="P22" i="20"/>
  <c r="P49" i="20"/>
  <c r="T17" i="20"/>
  <c r="U13" i="20"/>
  <c r="Q48" i="20"/>
  <c r="R19" i="20"/>
  <c r="S19" i="20" s="1"/>
  <c r="Q20" i="20"/>
  <c r="Q46" i="20"/>
  <c r="U11" i="21" l="1"/>
  <c r="W30" i="20"/>
  <c r="K7" i="21"/>
  <c r="M26" i="20"/>
  <c r="M43" i="20" s="1"/>
  <c r="M44" i="20" s="1"/>
  <c r="U21" i="21"/>
  <c r="X38" i="20" s="1"/>
  <c r="Q22" i="20"/>
  <c r="Q49" i="20"/>
  <c r="U17" i="20"/>
  <c r="V13" i="20"/>
  <c r="R48" i="20"/>
  <c r="R20" i="20"/>
  <c r="R46" i="20"/>
  <c r="U12" i="21" l="1"/>
  <c r="X28" i="20"/>
  <c r="K8" i="21"/>
  <c r="N24" i="20"/>
  <c r="N47" i="20" s="1"/>
  <c r="V19" i="21"/>
  <c r="Y36" i="20" s="1"/>
  <c r="R22" i="20"/>
  <c r="R49" i="20"/>
  <c r="S48" i="20"/>
  <c r="S20" i="20"/>
  <c r="T19" i="20"/>
  <c r="S46" i="20"/>
  <c r="V17" i="20"/>
  <c r="W13" i="20"/>
  <c r="U13" i="21" l="1"/>
  <c r="X29" i="20"/>
  <c r="K9" i="21"/>
  <c r="N25" i="20"/>
  <c r="V20" i="21"/>
  <c r="Y37" i="20" s="1"/>
  <c r="S22" i="20"/>
  <c r="S49" i="20"/>
  <c r="W17" i="20"/>
  <c r="X13" i="20"/>
  <c r="T48" i="20"/>
  <c r="T20" i="20"/>
  <c r="U19" i="20"/>
  <c r="T46" i="20"/>
  <c r="V11" i="21" l="1"/>
  <c r="X30" i="20"/>
  <c r="L7" i="21"/>
  <c r="N26" i="20"/>
  <c r="N43" i="20" s="1"/>
  <c r="N44" i="20" s="1"/>
  <c r="V21" i="21"/>
  <c r="Y38" i="20" s="1"/>
  <c r="T22" i="20"/>
  <c r="T49" i="20"/>
  <c r="X17" i="20"/>
  <c r="Y13" i="20"/>
  <c r="U48" i="20"/>
  <c r="U20" i="20"/>
  <c r="V19" i="20"/>
  <c r="U46" i="20"/>
  <c r="V12" i="21" l="1"/>
  <c r="Y28" i="20"/>
  <c r="L8" i="21"/>
  <c r="O24" i="20"/>
  <c r="O47" i="20" s="1"/>
  <c r="W19" i="21"/>
  <c r="Z36" i="20" s="1"/>
  <c r="U22" i="20"/>
  <c r="U49" i="20"/>
  <c r="Z13" i="20"/>
  <c r="Y17" i="20"/>
  <c r="V48" i="20"/>
  <c r="V20" i="20"/>
  <c r="W19" i="20"/>
  <c r="V46" i="20"/>
  <c r="X19" i="20" l="1"/>
  <c r="V13" i="21"/>
  <c r="Y29" i="20"/>
  <c r="L9" i="21"/>
  <c r="O25" i="20"/>
  <c r="W20" i="21"/>
  <c r="Z37" i="20" s="1"/>
  <c r="V22" i="20"/>
  <c r="V49" i="20"/>
  <c r="W48" i="20"/>
  <c r="W20" i="20"/>
  <c r="W46" i="20"/>
  <c r="Z17" i="20"/>
  <c r="AA13" i="20"/>
  <c r="Z21" i="20" l="1"/>
  <c r="W11" i="21"/>
  <c r="Y30" i="20"/>
  <c r="M7" i="21"/>
  <c r="O26" i="20"/>
  <c r="O43" i="20" s="1"/>
  <c r="O44" i="20" s="1"/>
  <c r="W21" i="21"/>
  <c r="Z38" i="20" s="1"/>
  <c r="X21" i="20"/>
  <c r="Y19" i="20" s="1"/>
  <c r="AA21" i="20"/>
  <c r="AB21" i="20"/>
  <c r="AC21" i="20"/>
  <c r="Y21" i="20"/>
  <c r="AD21" i="20"/>
  <c r="AG21" i="20"/>
  <c r="AE21" i="20"/>
  <c r="AF21" i="20"/>
  <c r="W22" i="20"/>
  <c r="W49" i="20"/>
  <c r="AA17" i="20"/>
  <c r="AB13" i="20"/>
  <c r="X48" i="20"/>
  <c r="X20" i="20"/>
  <c r="X46" i="20"/>
  <c r="Z19" i="20" l="1"/>
  <c r="AA19" i="20" s="1"/>
  <c r="AB19" i="20" s="1"/>
  <c r="AC19" i="20" s="1"/>
  <c r="AD19" i="20" s="1"/>
  <c r="AE19" i="20" s="1"/>
  <c r="AF19" i="20" s="1"/>
  <c r="AG19" i="20" s="1"/>
  <c r="AH19" i="20" s="1"/>
  <c r="AI19" i="20" s="1"/>
  <c r="AJ19" i="20" s="1"/>
  <c r="AK19" i="20" s="1"/>
  <c r="AL19" i="20" s="1"/>
  <c r="W12" i="21"/>
  <c r="Z28" i="20"/>
  <c r="P24" i="20"/>
  <c r="P47" i="20" s="1"/>
  <c r="M8" i="21"/>
  <c r="X19" i="21"/>
  <c r="AA36" i="20" s="1"/>
  <c r="X22" i="20"/>
  <c r="X49" i="20"/>
  <c r="Y48" i="20"/>
  <c r="Y20" i="20"/>
  <c r="Y46" i="20"/>
  <c r="AB17" i="20"/>
  <c r="AC13" i="20"/>
  <c r="W13" i="21" l="1"/>
  <c r="Z29" i="20"/>
  <c r="M9" i="21"/>
  <c r="P25" i="20"/>
  <c r="X20" i="21"/>
  <c r="AA37" i="20" s="1"/>
  <c r="Y22" i="20"/>
  <c r="Y49" i="20"/>
  <c r="Z48" i="20"/>
  <c r="Z20" i="20"/>
  <c r="Z46" i="20"/>
  <c r="AC17" i="20"/>
  <c r="AD13" i="20"/>
  <c r="X11" i="21" l="1"/>
  <c r="Z30" i="20"/>
  <c r="N7" i="21"/>
  <c r="P26" i="20"/>
  <c r="P43" i="20" s="1"/>
  <c r="P44" i="20" s="1"/>
  <c r="X21" i="21"/>
  <c r="AA38" i="20" s="1"/>
  <c r="Z22" i="20"/>
  <c r="Z49" i="20"/>
  <c r="AD17" i="20"/>
  <c r="AE13" i="20"/>
  <c r="AA48" i="20"/>
  <c r="AA20" i="20"/>
  <c r="AA46" i="20"/>
  <c r="X12" i="21" l="1"/>
  <c r="AA28" i="20"/>
  <c r="N8" i="21"/>
  <c r="Q24" i="20"/>
  <c r="Q47" i="20" s="1"/>
  <c r="Y19" i="21"/>
  <c r="AB36" i="20" s="1"/>
  <c r="AA22" i="20"/>
  <c r="AA49" i="20"/>
  <c r="AB48" i="20"/>
  <c r="AB20" i="20"/>
  <c r="AB46" i="20"/>
  <c r="AE17" i="20"/>
  <c r="AF13" i="20"/>
  <c r="X13" i="21" l="1"/>
  <c r="AA29" i="20"/>
  <c r="N9" i="21"/>
  <c r="Q25" i="20"/>
  <c r="Y20" i="21"/>
  <c r="AB37" i="20" s="1"/>
  <c r="AB22" i="20"/>
  <c r="AB49" i="20"/>
  <c r="AF17" i="20"/>
  <c r="AG13" i="20"/>
  <c r="Y11" i="21" l="1"/>
  <c r="AA30" i="20"/>
  <c r="O7" i="21"/>
  <c r="Q26" i="20"/>
  <c r="Q43" i="20" s="1"/>
  <c r="Q44" i="20" s="1"/>
  <c r="Y21" i="21"/>
  <c r="AB38" i="20" s="1"/>
  <c r="AH13" i="20"/>
  <c r="AG17" i="20"/>
  <c r="AC48" i="20"/>
  <c r="AC20" i="20"/>
  <c r="AC46" i="20"/>
  <c r="Y12" i="21" l="1"/>
  <c r="AB28" i="20"/>
  <c r="R24" i="20"/>
  <c r="R47" i="20" s="1"/>
  <c r="O8" i="21"/>
  <c r="Z19" i="21"/>
  <c r="AC36" i="20" s="1"/>
  <c r="AC22" i="20"/>
  <c r="AC49" i="20"/>
  <c r="AD20" i="20"/>
  <c r="AD48" i="20"/>
  <c r="AD46" i="20"/>
  <c r="AH17" i="20"/>
  <c r="AI13" i="20"/>
  <c r="Y13" i="21" l="1"/>
  <c r="AB29" i="20"/>
  <c r="O9" i="21"/>
  <c r="R25" i="20"/>
  <c r="Z20" i="21"/>
  <c r="AC37" i="20" s="1"/>
  <c r="AD22" i="20"/>
  <c r="AD49" i="20"/>
  <c r="AE48" i="20"/>
  <c r="AE20" i="20"/>
  <c r="AE46" i="20"/>
  <c r="AI17" i="20"/>
  <c r="AJ13" i="20"/>
  <c r="Z11" i="21" l="1"/>
  <c r="AB30" i="20"/>
  <c r="P7" i="21"/>
  <c r="R26" i="20"/>
  <c r="R43" i="20" s="1"/>
  <c r="R44" i="20" s="1"/>
  <c r="Z21" i="21"/>
  <c r="AC38" i="20" s="1"/>
  <c r="AE22" i="20"/>
  <c r="AE49" i="20"/>
  <c r="AJ17" i="20"/>
  <c r="AK13" i="20"/>
  <c r="AF48" i="20"/>
  <c r="AF20" i="20"/>
  <c r="AF46" i="20"/>
  <c r="Z12" i="21" l="1"/>
  <c r="AC28" i="20"/>
  <c r="P8" i="21"/>
  <c r="S24" i="20"/>
  <c r="S47" i="20" s="1"/>
  <c r="AA19" i="21"/>
  <c r="AD36" i="20" s="1"/>
  <c r="AF22" i="20"/>
  <c r="AF49" i="20"/>
  <c r="AK17" i="20"/>
  <c r="AL13" i="20"/>
  <c r="AG48" i="20"/>
  <c r="AG20" i="20"/>
  <c r="AG46" i="20"/>
  <c r="Z13" i="21" l="1"/>
  <c r="AC29" i="20"/>
  <c r="P9" i="21"/>
  <c r="S25" i="20"/>
  <c r="AA20" i="21"/>
  <c r="AD37" i="20" s="1"/>
  <c r="AG22" i="20"/>
  <c r="AG49" i="20"/>
  <c r="AL17" i="20"/>
  <c r="AH48" i="20"/>
  <c r="AH20" i="20"/>
  <c r="AH46" i="20"/>
  <c r="AA11" i="21" l="1"/>
  <c r="AC30" i="20"/>
  <c r="Q7" i="21"/>
  <c r="S26" i="20"/>
  <c r="S43" i="20" s="1"/>
  <c r="S44" i="20" s="1"/>
  <c r="AA21" i="21"/>
  <c r="AD38" i="20" s="1"/>
  <c r="AH22" i="20"/>
  <c r="AH49" i="20"/>
  <c r="AI48" i="20"/>
  <c r="AI20" i="20"/>
  <c r="AI46" i="20"/>
  <c r="AA12" i="21" l="1"/>
  <c r="AD28" i="20"/>
  <c r="Q8" i="21"/>
  <c r="T24" i="20"/>
  <c r="T47" i="20" s="1"/>
  <c r="AB19" i="21"/>
  <c r="AE36" i="20" s="1"/>
  <c r="AI22" i="20"/>
  <c r="AI49" i="20"/>
  <c r="AJ48" i="20"/>
  <c r="AJ20" i="20"/>
  <c r="AJ46" i="20"/>
  <c r="AA13" i="21" l="1"/>
  <c r="AD29" i="20"/>
  <c r="Q9" i="21"/>
  <c r="T25" i="20"/>
  <c r="AB20" i="21"/>
  <c r="AE37" i="20" s="1"/>
  <c r="AJ22" i="20"/>
  <c r="AJ49" i="20"/>
  <c r="AK48" i="20"/>
  <c r="AK20" i="20"/>
  <c r="AK46" i="20"/>
  <c r="AB11" i="21" l="1"/>
  <c r="AD30" i="20"/>
  <c r="R7" i="21"/>
  <c r="T26" i="20"/>
  <c r="T43" i="20" s="1"/>
  <c r="T44" i="20" s="1"/>
  <c r="AB21" i="21"/>
  <c r="AE38" i="20" s="1"/>
  <c r="AK22" i="20"/>
  <c r="AK49" i="20"/>
  <c r="AL48" i="20"/>
  <c r="AL20" i="20"/>
  <c r="AL46" i="20"/>
  <c r="AB12" i="21" l="1"/>
  <c r="AE28" i="20"/>
  <c r="R8" i="21"/>
  <c r="U24" i="20"/>
  <c r="U47" i="20" s="1"/>
  <c r="AC19" i="21"/>
  <c r="AF36" i="20" s="1"/>
  <c r="AL22" i="20"/>
  <c r="AL49" i="20"/>
  <c r="AB13" i="21" l="1"/>
  <c r="AE29" i="20"/>
  <c r="R9" i="21"/>
  <c r="U25" i="20"/>
  <c r="AC20" i="21"/>
  <c r="AF37" i="20" s="1"/>
  <c r="AC11" i="21" l="1"/>
  <c r="AE30" i="20"/>
  <c r="S7" i="21"/>
  <c r="U26" i="20"/>
  <c r="U43" i="20" s="1"/>
  <c r="U44" i="20" s="1"/>
  <c r="AC21" i="21"/>
  <c r="AF38" i="20" s="1"/>
  <c r="AC12" i="21" l="1"/>
  <c r="AF28" i="20"/>
  <c r="S8" i="21"/>
  <c r="V24" i="20"/>
  <c r="V47" i="20" s="1"/>
  <c r="AD19" i="21"/>
  <c r="AG36" i="20" s="1"/>
  <c r="AC13" i="21" l="1"/>
  <c r="AF29" i="20"/>
  <c r="S9" i="21"/>
  <c r="V25" i="20"/>
  <c r="AD20" i="21"/>
  <c r="AG37" i="20" s="1"/>
  <c r="AD11" i="21" l="1"/>
  <c r="AF30" i="20"/>
  <c r="T7" i="21"/>
  <c r="V26" i="20"/>
  <c r="V43" i="20" s="1"/>
  <c r="V44" i="20" s="1"/>
  <c r="AD21" i="21"/>
  <c r="AG38" i="20" s="1"/>
  <c r="AD12" i="21" l="1"/>
  <c r="AG28" i="20"/>
  <c r="T8" i="21"/>
  <c r="W24" i="20"/>
  <c r="W47" i="20" s="1"/>
  <c r="AE19" i="21"/>
  <c r="AH36" i="20" s="1"/>
  <c r="AD13" i="21" l="1"/>
  <c r="AG29" i="20"/>
  <c r="T9" i="21"/>
  <c r="W25" i="20"/>
  <c r="AE20" i="21"/>
  <c r="AH37" i="20" s="1"/>
  <c r="AE11" i="21" l="1"/>
  <c r="AG30" i="20"/>
  <c r="U7" i="21"/>
  <c r="W26" i="20"/>
  <c r="W43" i="20" s="1"/>
  <c r="W44" i="20" s="1"/>
  <c r="AE21" i="21"/>
  <c r="AH38" i="20" s="1"/>
  <c r="AE12" i="21" l="1"/>
  <c r="AH28" i="20"/>
  <c r="U8" i="21"/>
  <c r="X24" i="20"/>
  <c r="X47" i="20" s="1"/>
  <c r="AF19" i="21"/>
  <c r="AI36" i="20" s="1"/>
  <c r="AE13" i="21" l="1"/>
  <c r="AH29" i="20"/>
  <c r="U9" i="21"/>
  <c r="X25" i="20"/>
  <c r="AF20" i="21"/>
  <c r="AI37" i="20" s="1"/>
  <c r="AF11" i="21" l="1"/>
  <c r="AH30" i="20"/>
  <c r="X43" i="20"/>
  <c r="X44" i="20" s="1"/>
  <c r="V7" i="21"/>
  <c r="X26" i="20"/>
  <c r="AF21" i="21"/>
  <c r="AI38" i="20" s="1"/>
  <c r="AF12" i="21" l="1"/>
  <c r="AI28" i="20"/>
  <c r="V8" i="21"/>
  <c r="Y24" i="20"/>
  <c r="Y47" i="20" s="1"/>
  <c r="AG19" i="21"/>
  <c r="AJ36" i="20" s="1"/>
  <c r="AF13" i="21" l="1"/>
  <c r="AI29" i="20"/>
  <c r="V9" i="21"/>
  <c r="Y25" i="20"/>
  <c r="AG20" i="21"/>
  <c r="AJ37" i="20" s="1"/>
  <c r="AG11" i="21" l="1"/>
  <c r="AI30" i="20"/>
  <c r="W7" i="21"/>
  <c r="Y26" i="20"/>
  <c r="Y43" i="20" s="1"/>
  <c r="Y44" i="20" s="1"/>
  <c r="AG21" i="21"/>
  <c r="AJ38" i="20" s="1"/>
  <c r="AG12" i="21" l="1"/>
  <c r="AJ28" i="20"/>
  <c r="W8" i="21"/>
  <c r="Z24" i="20"/>
  <c r="Z47" i="20" s="1"/>
  <c r="AH19" i="21"/>
  <c r="AK36" i="20" s="1"/>
  <c r="AG13" i="21" l="1"/>
  <c r="AJ29" i="20"/>
  <c r="W9" i="21"/>
  <c r="Z25" i="20"/>
  <c r="AH20" i="21"/>
  <c r="AK37" i="20" s="1"/>
  <c r="AH11" i="21" l="1"/>
  <c r="AJ30" i="20"/>
  <c r="X7" i="21"/>
  <c r="Z26" i="20"/>
  <c r="Z43" i="20" s="1"/>
  <c r="Z44" i="20" s="1"/>
  <c r="AH21" i="21"/>
  <c r="AK38" i="20" s="1"/>
  <c r="AH12" i="21" l="1"/>
  <c r="AK28" i="20"/>
  <c r="X8" i="21"/>
  <c r="AA24" i="20"/>
  <c r="AA47" i="20" s="1"/>
  <c r="AI19" i="21"/>
  <c r="AL36" i="20" s="1"/>
  <c r="AH13" i="21" l="1"/>
  <c r="AK29" i="20"/>
  <c r="X9" i="21"/>
  <c r="AA25" i="20"/>
  <c r="AI20" i="21"/>
  <c r="AL37" i="20" s="1"/>
  <c r="AI11" i="21" l="1"/>
  <c r="AK30" i="20"/>
  <c r="Y7" i="21"/>
  <c r="AA26" i="20"/>
  <c r="AA43" i="20" s="1"/>
  <c r="AA44" i="20" s="1"/>
  <c r="AI21" i="21"/>
  <c r="AI12" i="21" l="1"/>
  <c r="AL28" i="20"/>
  <c r="Y8" i="21"/>
  <c r="AB24" i="20"/>
  <c r="AB47" i="20" s="1"/>
  <c r="AL38" i="20"/>
  <c r="AI13" i="21" l="1"/>
  <c r="AL30" i="20" s="1"/>
  <c r="AL29" i="20"/>
  <c r="Y9" i="21"/>
  <c r="AB25" i="20"/>
  <c r="Z7" i="21" l="1"/>
  <c r="AB26" i="20"/>
  <c r="AB43" i="20" s="1"/>
  <c r="AB44" i="20" s="1"/>
  <c r="Z8" i="21" l="1"/>
  <c r="AC24" i="20"/>
  <c r="AC47" i="20" s="1"/>
  <c r="Z9" i="21" l="1"/>
  <c r="AC25" i="20"/>
  <c r="AA7" i="21" l="1"/>
  <c r="AC26" i="20"/>
  <c r="AC43" i="20" s="1"/>
  <c r="AC44" i="20" s="1"/>
  <c r="AA8" i="21" l="1"/>
  <c r="AD24" i="20"/>
  <c r="AD47" i="20" s="1"/>
  <c r="AA9" i="21" l="1"/>
  <c r="AD25" i="20"/>
  <c r="AB7" i="21" l="1"/>
  <c r="AD26" i="20"/>
  <c r="AD43" i="20" s="1"/>
  <c r="AD44" i="20" s="1"/>
  <c r="AB8" i="21" l="1"/>
  <c r="AE24" i="20"/>
  <c r="AE47" i="20" s="1"/>
  <c r="AB9" i="21" l="1"/>
  <c r="AE25" i="20"/>
  <c r="AC7" i="21" l="1"/>
  <c r="AE26" i="20"/>
  <c r="AE43" i="20" s="1"/>
  <c r="AE44" i="20" s="1"/>
  <c r="AC8" i="21" l="1"/>
  <c r="AF24" i="20"/>
  <c r="AF47" i="20" s="1"/>
  <c r="AC9" i="21" l="1"/>
  <c r="AF25" i="20"/>
  <c r="AD7" i="21" l="1"/>
  <c r="AF26" i="20"/>
  <c r="AF43" i="20" s="1"/>
  <c r="AF44" i="20" s="1"/>
  <c r="AD8" i="21" l="1"/>
  <c r="AG24" i="20"/>
  <c r="AG47" i="20" s="1"/>
  <c r="AD9" i="21" l="1"/>
  <c r="AG25" i="20"/>
  <c r="AE7" i="21" l="1"/>
  <c r="AG26" i="20"/>
  <c r="AG43" i="20" s="1"/>
  <c r="AG44" i="20" s="1"/>
  <c r="AH24" i="20" l="1"/>
  <c r="AH47" i="20" s="1"/>
  <c r="AE8" i="21"/>
  <c r="AE9" i="21" l="1"/>
  <c r="AH25" i="20"/>
  <c r="AH26" i="20" l="1"/>
  <c r="AH43" i="20" s="1"/>
  <c r="AH44" i="20" s="1"/>
  <c r="AF7" i="21"/>
  <c r="AF8" i="21" l="1"/>
  <c r="AI24" i="20"/>
  <c r="AI47" i="20" s="1"/>
  <c r="AF9" i="21" l="1"/>
  <c r="AI25" i="20"/>
  <c r="AG7" i="21" l="1"/>
  <c r="AI26" i="20"/>
  <c r="AI43" i="20" s="1"/>
  <c r="AI44" i="20" s="1"/>
  <c r="AG8" i="21" l="1"/>
  <c r="AJ24" i="20"/>
  <c r="AJ47" i="20" s="1"/>
  <c r="AG9" i="21" l="1"/>
  <c r="AJ25" i="20"/>
  <c r="AH7" i="21" l="1"/>
  <c r="AJ26" i="20"/>
  <c r="AJ43" i="20" s="1"/>
  <c r="AJ44" i="20" s="1"/>
  <c r="AH8" i="21" l="1"/>
  <c r="AK24" i="20"/>
  <c r="AK47" i="20" s="1"/>
  <c r="AH9" i="21" l="1"/>
  <c r="AK25" i="20"/>
  <c r="AI7" i="21" l="1"/>
  <c r="AK26" i="20"/>
  <c r="AK43" i="20" s="1"/>
  <c r="AK44" i="20" s="1"/>
  <c r="AI8" i="21" l="1"/>
  <c r="AL24" i="20"/>
  <c r="AL47" i="20" s="1"/>
  <c r="AI9" i="21" l="1"/>
  <c r="AL26" i="20" s="1"/>
  <c r="AL25" i="20"/>
  <c r="AL43" i="20" l="1"/>
  <c r="AL44" i="20" s="1"/>
</calcChain>
</file>

<file path=xl/sharedStrings.xml><?xml version="1.0" encoding="utf-8"?>
<sst xmlns="http://schemas.openxmlformats.org/spreadsheetml/2006/main" count="141" uniqueCount="98">
  <si>
    <t>versie</t>
  </si>
  <si>
    <t xml:space="preserve">Jaar </t>
  </si>
  <si>
    <t>Project parameters</t>
  </si>
  <si>
    <t>Aantal VHE</t>
  </si>
  <si>
    <t>Rente bank</t>
  </si>
  <si>
    <t>Aflossing% Bank</t>
  </si>
  <si>
    <t>Zelfstandige VHE</t>
  </si>
  <si>
    <t>Rente Gemeente</t>
  </si>
  <si>
    <t>Onzelfstandige VHE</t>
  </si>
  <si>
    <t>Gemeenschappelijke ruimten in m2 GBO</t>
  </si>
  <si>
    <t>Aflossing% Gemeente</t>
  </si>
  <si>
    <t>Commerciele ruimten in VVO</t>
  </si>
  <si>
    <t>Huurindex cf TMI</t>
  </si>
  <si>
    <t>Overige (parkeerplekken ed)</t>
  </si>
  <si>
    <t>Kostenindex cf TMI</t>
  </si>
  <si>
    <t>Huur per maand</t>
  </si>
  <si>
    <t>GBO in m2</t>
  </si>
  <si>
    <t>Kasstroom</t>
  </si>
  <si>
    <t>BVO in m2</t>
  </si>
  <si>
    <t>Huur</t>
  </si>
  <si>
    <t>Kavel in m2</t>
  </si>
  <si>
    <t>Erfpacht</t>
  </si>
  <si>
    <t>Gemiddelde grootte VHE in m2</t>
  </si>
  <si>
    <t>opp in m2 per vhe in GBO</t>
  </si>
  <si>
    <t>Exploitatie</t>
  </si>
  <si>
    <t xml:space="preserve">VpB </t>
  </si>
  <si>
    <t>Netto</t>
  </si>
  <si>
    <t>Aanvangshuur per VHE per maand</t>
  </si>
  <si>
    <t>Exploitatielasten excl erfpacht</t>
  </si>
  <si>
    <t>ca 17% tot 22 % van bruto huur</t>
  </si>
  <si>
    <t>Grondwaarde tbv erfpacht</t>
  </si>
  <si>
    <t>Waarde per m2</t>
  </si>
  <si>
    <t>Rente</t>
  </si>
  <si>
    <t>Erfpacht rente %</t>
  </si>
  <si>
    <t>Aflossing</t>
  </si>
  <si>
    <t>Erfpacht canon eerste jaar</t>
  </si>
  <si>
    <t>Saldo</t>
  </si>
  <si>
    <t>Courantheid cf taxatie</t>
  </si>
  <si>
    <t>Goed</t>
  </si>
  <si>
    <t>Marktwaarde cf taxatie</t>
  </si>
  <si>
    <t>Obv % BAR over Huuropbrengst</t>
  </si>
  <si>
    <t>Exploitatielasten cf taxatie</t>
  </si>
  <si>
    <t>Check met exploitatielasten BU plan</t>
  </si>
  <si>
    <t>Grondkosten</t>
  </si>
  <si>
    <t>Bouwkosten</t>
  </si>
  <si>
    <t>Onderbouwing</t>
  </si>
  <si>
    <t>Bijkomende kosten</t>
  </si>
  <si>
    <t>BTW</t>
  </si>
  <si>
    <t>Onvoorzien incl fin lasten</t>
  </si>
  <si>
    <t>Totale stiko (incl BTW)</t>
  </si>
  <si>
    <t>In €</t>
  </si>
  <si>
    <t>% van stiko</t>
  </si>
  <si>
    <t>Annuiteit</t>
  </si>
  <si>
    <t>Rente Leden</t>
  </si>
  <si>
    <t>Subsidies</t>
  </si>
  <si>
    <t>Totaal funding</t>
  </si>
  <si>
    <t>Cumulatief</t>
  </si>
  <si>
    <t>Overfinanciering</t>
  </si>
  <si>
    <t>werkkapitaal</t>
  </si>
  <si>
    <t>LLD</t>
  </si>
  <si>
    <t>InvestmentYield (bruto huur/stiko) (BAR)</t>
  </si>
  <si>
    <t>LTV totaal</t>
  </si>
  <si>
    <t>Netto investment Yield (na EL en erfpacht) (NAR)</t>
  </si>
  <si>
    <t>LTV bank</t>
  </si>
  <si>
    <t>DSCR (obv norm aflossing 1,5%)</t>
  </si>
  <si>
    <t>Loan to cost (bancaire financiering)</t>
  </si>
  <si>
    <t>Max 80%</t>
  </si>
  <si>
    <t>Loan to Value (bancaire financiering)</t>
  </si>
  <si>
    <t>Rente korting groenfinanciering maximaal</t>
  </si>
  <si>
    <t>Opslag</t>
  </si>
  <si>
    <t>Groenkorting</t>
  </si>
  <si>
    <t>Rente jaar 1 t/m 10</t>
  </si>
  <si>
    <t>Hoofdsom</t>
  </si>
  <si>
    <t>Looptijd</t>
  </si>
  <si>
    <t>Rentecomponent</t>
  </si>
  <si>
    <t>Aflossingscomponent</t>
  </si>
  <si>
    <t>-</t>
  </si>
  <si>
    <t>Actuele funding 10 jaar, (indicatie t/m 1-11-2024)</t>
  </si>
  <si>
    <t>Initiatief</t>
  </si>
  <si>
    <t>Index Erfpacht gemeente (indien van toepassing)</t>
  </si>
  <si>
    <t>vormfactor</t>
  </si>
  <si>
    <t>per m2</t>
  </si>
  <si>
    <t>WWS</t>
  </si>
  <si>
    <t xml:space="preserve">Markthuurwaarde cf taxatiewijzer </t>
  </si>
  <si>
    <t>% van voorgaande</t>
  </si>
  <si>
    <t>(aankoop of (bij erfpacht) bouwrijp maken)</t>
  </si>
  <si>
    <t>Getoetst op WWS punten</t>
  </si>
  <si>
    <t>m2 BVO conform grondprijzenbrief gemeente</t>
  </si>
  <si>
    <t>totaal | per vhe | per m2 GBO</t>
  </si>
  <si>
    <t>Annuïtair</t>
  </si>
  <si>
    <t>Leenfonds (Gemeente, VRO)</t>
  </si>
  <si>
    <t>Solidariteitsfonds</t>
  </si>
  <si>
    <t>Crowdfunding/obligaties</t>
  </si>
  <si>
    <t>Inleg leden</t>
  </si>
  <si>
    <t>Hoofdsom bank</t>
  </si>
  <si>
    <t>Huuropbrengst incl EPV</t>
  </si>
  <si>
    <t>ANNUITEITEN BEREKENINGEN</t>
  </si>
  <si>
    <t>jaar: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</si>
</sst>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€&quot;\ #,##0;[Red]&quot;€&quot;\ \-#,##0"/>
    <numFmt numFmtId="8" formatCode="&quot;€&quot;\ #,##0.00;[Red]&quot;€&quot;\ \-#,##0.00"/>
    <numFmt numFmtId="164" formatCode="#,##0&quot; m²&quot;"/>
    <numFmt numFmtId="165" formatCode="0.0%"/>
    <numFmt numFmtId="166" formatCode="&quot;€&quot;\ #,##0.00"/>
    <numFmt numFmtId="167" formatCode="&quot;€&quot;\ #,##0"/>
    <numFmt numFmtId="168" formatCode="0.0"/>
  </numFmts>
  <fonts count="14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3"/>
      <color theme="1"/>
      <name val="Calibri"/>
      <family val="2"/>
    </font>
    <font>
      <sz val="12"/>
      <color theme="0" tint="-0.499984740745262"/>
      <name val="Calibri"/>
      <family val="2"/>
    </font>
    <font>
      <sz val="10"/>
      <color theme="0" tint="-0.499984740745262"/>
      <name val="Calibri"/>
      <family val="2"/>
    </font>
    <font>
      <sz val="10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0" tint="-0.499984740745262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CCCC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0000"/>
      </patternFill>
    </fill>
    <fill>
      <patternFill patternType="solid">
        <fgColor theme="6" tint="0.79998168889431442"/>
        <bgColor rgb="FFFF0000"/>
      </patternFill>
    </fill>
    <fill>
      <patternFill patternType="solid">
        <fgColor theme="0"/>
        <bgColor rgb="FFFFC000"/>
      </patternFill>
    </fill>
    <fill>
      <patternFill patternType="solid">
        <fgColor rgb="FF257575"/>
        <bgColor rgb="FFFFC00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7" fontId="0" fillId="0" borderId="0" xfId="0" applyNumberFormat="1"/>
    <xf numFmtId="10" fontId="0" fillId="0" borderId="0" xfId="0" applyNumberFormat="1" applyAlignment="1">
      <alignment horizontal="right"/>
    </xf>
    <xf numFmtId="8" fontId="0" fillId="0" borderId="0" xfId="0" applyNumberFormat="1" applyAlignment="1">
      <alignment horizontal="right"/>
    </xf>
    <xf numFmtId="6" fontId="0" fillId="0" borderId="0" xfId="0" applyNumberFormat="1"/>
    <xf numFmtId="167" fontId="0" fillId="0" borderId="0" xfId="0" applyNumberFormat="1" applyAlignment="1">
      <alignment horizontal="right"/>
    </xf>
    <xf numFmtId="0" fontId="2" fillId="5" borderId="3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6" borderId="0" xfId="0" applyFont="1" applyFill="1" applyAlignment="1">
      <alignment horizontal="center"/>
    </xf>
    <xf numFmtId="164" fontId="5" fillId="7" borderId="1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/>
    <xf numFmtId="167" fontId="5" fillId="6" borderId="1" xfId="0" applyNumberFormat="1" applyFont="1" applyFill="1" applyBorder="1"/>
    <xf numFmtId="10" fontId="5" fillId="7" borderId="1" xfId="0" applyNumberFormat="1" applyFont="1" applyFill="1" applyBorder="1"/>
    <xf numFmtId="0" fontId="6" fillId="0" borderId="1" xfId="0" applyFont="1" applyBorder="1"/>
    <xf numFmtId="0" fontId="6" fillId="4" borderId="1" xfId="0" applyFont="1" applyFill="1" applyBorder="1"/>
    <xf numFmtId="0" fontId="7" fillId="3" borderId="2" xfId="0" applyFont="1" applyFill="1" applyBorder="1"/>
    <xf numFmtId="0" fontId="8" fillId="4" borderId="1" xfId="0" applyFont="1" applyFill="1" applyBorder="1" applyAlignment="1">
      <alignment horizontal="right"/>
    </xf>
    <xf numFmtId="14" fontId="8" fillId="4" borderId="1" xfId="0" applyNumberFormat="1" applyFont="1" applyFill="1" applyBorder="1"/>
    <xf numFmtId="14" fontId="6" fillId="4" borderId="1" xfId="0" applyNumberFormat="1" applyFont="1" applyFill="1" applyBorder="1"/>
    <xf numFmtId="0" fontId="9" fillId="0" borderId="1" xfId="0" applyFont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0" fontId="12" fillId="0" borderId="1" xfId="0" applyFont="1" applyBorder="1"/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5" fillId="0" borderId="1" xfId="0" applyFont="1" applyBorder="1"/>
    <xf numFmtId="10" fontId="5" fillId="0" borderId="1" xfId="0" applyNumberFormat="1" applyFont="1" applyBorder="1"/>
    <xf numFmtId="10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/>
    </xf>
    <xf numFmtId="167" fontId="12" fillId="0" borderId="1" xfId="0" applyNumberFormat="1" applyFont="1" applyBorder="1"/>
    <xf numFmtId="0" fontId="5" fillId="0" borderId="1" xfId="0" applyFont="1" applyBorder="1" applyAlignment="1">
      <alignment horizontal="left"/>
    </xf>
    <xf numFmtId="166" fontId="5" fillId="0" borderId="1" xfId="0" applyNumberFormat="1" applyFont="1" applyBorder="1" applyAlignment="1">
      <alignment horizontal="right"/>
    </xf>
    <xf numFmtId="0" fontId="5" fillId="2" borderId="1" xfId="0" applyFont="1" applyFill="1" applyBorder="1"/>
    <xf numFmtId="1" fontId="5" fillId="0" borderId="1" xfId="0" applyNumberFormat="1" applyFont="1" applyBorder="1"/>
    <xf numFmtId="166" fontId="5" fillId="0" borderId="1" xfId="0" applyNumberFormat="1" applyFont="1" applyBorder="1"/>
    <xf numFmtId="167" fontId="11" fillId="0" borderId="0" xfId="0" applyNumberFormat="1" applyFont="1"/>
    <xf numFmtId="167" fontId="5" fillId="0" borderId="1" xfId="0" applyNumberFormat="1" applyFont="1" applyBorder="1" applyAlignment="1">
      <alignment horizontal="left"/>
    </xf>
    <xf numFmtId="167" fontId="11" fillId="0" borderId="1" xfId="0" applyNumberFormat="1" applyFont="1" applyBorder="1"/>
    <xf numFmtId="165" fontId="5" fillId="0" borderId="1" xfId="0" applyNumberFormat="1" applyFont="1" applyBorder="1" applyAlignment="1">
      <alignment horizontal="right"/>
    </xf>
    <xf numFmtId="9" fontId="5" fillId="0" borderId="1" xfId="0" applyNumberFormat="1" applyFont="1" applyBorder="1"/>
    <xf numFmtId="165" fontId="12" fillId="0" borderId="1" xfId="0" applyNumberFormat="1" applyFont="1" applyBorder="1" applyAlignment="1">
      <alignment horizontal="right"/>
    </xf>
    <xf numFmtId="9" fontId="5" fillId="0" borderId="1" xfId="0" applyNumberFormat="1" applyFont="1" applyBorder="1" applyAlignment="1">
      <alignment horizontal="right"/>
    </xf>
    <xf numFmtId="168" fontId="12" fillId="0" borderId="1" xfId="0" applyNumberFormat="1" applyFont="1" applyBorder="1"/>
    <xf numFmtId="165" fontId="5" fillId="0" borderId="1" xfId="0" applyNumberFormat="1" applyFont="1" applyBorder="1"/>
    <xf numFmtId="10" fontId="5" fillId="6" borderId="1" xfId="0" applyNumberFormat="1" applyFont="1" applyFill="1" applyBorder="1" applyAlignment="1">
      <alignment horizontal="right"/>
    </xf>
    <xf numFmtId="167" fontId="5" fillId="8" borderId="1" xfId="0" applyNumberFormat="1" applyFont="1" applyFill="1" applyBorder="1" applyAlignment="1">
      <alignment horizontal="left"/>
    </xf>
    <xf numFmtId="167" fontId="5" fillId="8" borderId="1" xfId="0" applyNumberFormat="1" applyFont="1" applyFill="1" applyBorder="1"/>
    <xf numFmtId="167" fontId="5" fillId="9" borderId="1" xfId="0" applyNumberFormat="1" applyFont="1" applyFill="1" applyBorder="1"/>
    <xf numFmtId="166" fontId="5" fillId="7" borderId="1" xfId="0" applyNumberFormat="1" applyFont="1" applyFill="1" applyBorder="1"/>
    <xf numFmtId="167" fontId="5" fillId="7" borderId="1" xfId="0" applyNumberFormat="1" applyFont="1" applyFill="1" applyBorder="1"/>
    <xf numFmtId="9" fontId="5" fillId="6" borderId="1" xfId="1" applyFont="1" applyFill="1" applyBorder="1"/>
    <xf numFmtId="167" fontId="5" fillId="10" borderId="1" xfId="0" applyNumberFormat="1" applyFont="1" applyFill="1" applyBorder="1"/>
    <xf numFmtId="165" fontId="5" fillId="6" borderId="1" xfId="0" applyNumberFormat="1" applyFont="1" applyFill="1" applyBorder="1" applyAlignment="1">
      <alignment horizontal="right"/>
    </xf>
    <xf numFmtId="10" fontId="5" fillId="6" borderId="1" xfId="0" applyNumberFormat="1" applyFont="1" applyFill="1" applyBorder="1"/>
    <xf numFmtId="167" fontId="5" fillId="11" borderId="1" xfId="0" applyNumberFormat="1" applyFont="1" applyFill="1" applyBorder="1"/>
    <xf numFmtId="165" fontId="5" fillId="8" borderId="1" xfId="0" applyNumberFormat="1" applyFont="1" applyFill="1" applyBorder="1" applyAlignment="1">
      <alignment horizontal="right"/>
    </xf>
    <xf numFmtId="0" fontId="5" fillId="8" borderId="1" xfId="0" applyFont="1" applyFill="1" applyBorder="1"/>
    <xf numFmtId="10" fontId="5" fillId="10" borderId="1" xfId="0" applyNumberFormat="1" applyFont="1" applyFill="1" applyBorder="1"/>
    <xf numFmtId="2" fontId="12" fillId="10" borderId="1" xfId="0" applyNumberFormat="1" applyFont="1" applyFill="1" applyBorder="1" applyAlignment="1">
      <alignment horizontal="right"/>
    </xf>
    <xf numFmtId="10" fontId="12" fillId="12" borderId="1" xfId="0" applyNumberFormat="1" applyFont="1" applyFill="1" applyBorder="1"/>
    <xf numFmtId="0" fontId="5" fillId="12" borderId="1" xfId="0" applyFont="1" applyFill="1" applyBorder="1" applyAlignment="1">
      <alignment horizontal="left"/>
    </xf>
    <xf numFmtId="0" fontId="5" fillId="12" borderId="1" xfId="0" applyFont="1" applyFill="1" applyBorder="1"/>
    <xf numFmtId="0" fontId="12" fillId="7" borderId="1" xfId="0" applyFont="1" applyFill="1" applyBorder="1" applyAlignment="1">
      <alignment horizontal="center"/>
    </xf>
    <xf numFmtId="0" fontId="13" fillId="13" borderId="1" xfId="0" applyFont="1" applyFill="1" applyBorder="1"/>
    <xf numFmtId="167" fontId="13" fillId="13" borderId="1" xfId="0" applyNumberFormat="1" applyFont="1" applyFill="1" applyBorder="1"/>
    <xf numFmtId="0" fontId="5" fillId="8" borderId="4" xfId="0" applyFont="1" applyFill="1" applyBorder="1"/>
    <xf numFmtId="10" fontId="5" fillId="8" borderId="4" xfId="0" applyNumberFormat="1" applyFont="1" applyFill="1" applyBorder="1"/>
    <xf numFmtId="10" fontId="5" fillId="9" borderId="4" xfId="0" applyNumberFormat="1" applyFont="1" applyFill="1" applyBorder="1"/>
    <xf numFmtId="9" fontId="5" fillId="8" borderId="4" xfId="0" applyNumberFormat="1" applyFont="1" applyFill="1" applyBorder="1"/>
    <xf numFmtId="2" fontId="5" fillId="8" borderId="4" xfId="0" applyNumberFormat="1" applyFont="1" applyFill="1" applyBorder="1"/>
    <xf numFmtId="0" fontId="5" fillId="12" borderId="4" xfId="0" applyFont="1" applyFill="1" applyBorder="1"/>
    <xf numFmtId="0" fontId="12" fillId="12" borderId="4" xfId="0" applyFont="1" applyFill="1" applyBorder="1"/>
    <xf numFmtId="10" fontId="5" fillId="12" borderId="4" xfId="0" applyNumberFormat="1" applyFont="1" applyFill="1" applyBorder="1" applyAlignment="1">
      <alignment horizontal="right"/>
    </xf>
    <xf numFmtId="10" fontId="12" fillId="12" borderId="4" xfId="0" applyNumberFormat="1" applyFont="1" applyFill="1" applyBorder="1" applyAlignment="1">
      <alignment horizontal="right"/>
    </xf>
  </cellXfs>
  <cellStyles count="2">
    <cellStyle name="Procent" xfId="1" builtinId="5"/>
    <cellStyle name="Standaard" xfId="0" builtinId="0"/>
  </cellStyles>
  <dxfs count="1"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437371</xdr:colOff>
      <xdr:row>0</xdr:row>
      <xdr:rowOff>29157</xdr:rowOff>
    </xdr:from>
    <xdr:ext cx="1443183" cy="323275"/>
    <xdr:pic>
      <xdr:nvPicPr>
        <xdr:cNvPr id="2" name="Afbeelding 1">
          <a:extLst>
            <a:ext uri="{FF2B5EF4-FFF2-40B4-BE49-F238E27FC236}">
              <a16:creationId xmlns:a16="http://schemas.microsoft.com/office/drawing/2014/main" id="{3719F99E-4488-422D-AAB8-94077844984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07473" y="29157"/>
          <a:ext cx="1443183" cy="323275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M61"/>
  <sheetViews>
    <sheetView tabSelected="1" zoomScale="98" zoomScaleNormal="98" workbookViewId="0">
      <selection activeCell="D57" sqref="D57"/>
    </sheetView>
  </sheetViews>
  <sheetFormatPr defaultColWidth="12.5546875" defaultRowHeight="15.75" customHeight="1" x14ac:dyDescent="0.3"/>
  <cols>
    <col min="1" max="1" width="1.44140625" style="26" customWidth="1"/>
    <col min="2" max="2" width="43.44140625" style="26" bestFit="1" customWidth="1"/>
    <col min="3" max="3" width="13.44140625" style="26" customWidth="1"/>
    <col min="4" max="4" width="32.5546875" style="26" bestFit="1" customWidth="1"/>
    <col min="5" max="5" width="26.5546875" style="26" bestFit="1" customWidth="1"/>
    <col min="6" max="6" width="37.5546875" style="26" bestFit="1" customWidth="1"/>
    <col min="7" max="7" width="1.44140625" style="26" customWidth="1"/>
    <col min="8" max="8" width="30" style="26" customWidth="1"/>
    <col min="9" max="38" width="14.6640625" style="26" customWidth="1"/>
    <col min="39" max="39" width="1.33203125" style="26" customWidth="1"/>
    <col min="40" max="16384" width="12.5546875" style="26"/>
  </cols>
  <sheetData>
    <row r="1" spans="1:39" ht="23.4" x14ac:dyDescent="0.45">
      <c r="A1" s="16"/>
      <c r="B1" s="17" t="s">
        <v>78</v>
      </c>
      <c r="C1" s="18"/>
      <c r="D1" s="19" t="s">
        <v>0</v>
      </c>
      <c r="E1" s="20">
        <v>45712</v>
      </c>
      <c r="F1" s="21"/>
      <c r="G1" s="22"/>
      <c r="H1" s="23" t="s">
        <v>1</v>
      </c>
      <c r="I1" s="24">
        <v>1</v>
      </c>
      <c r="J1" s="24">
        <v>2</v>
      </c>
      <c r="K1" s="24">
        <v>3</v>
      </c>
      <c r="L1" s="24">
        <v>4</v>
      </c>
      <c r="M1" s="24">
        <v>5</v>
      </c>
      <c r="N1" s="24">
        <v>6</v>
      </c>
      <c r="O1" s="24">
        <v>7</v>
      </c>
      <c r="P1" s="24">
        <v>8</v>
      </c>
      <c r="Q1" s="24">
        <v>9</v>
      </c>
      <c r="R1" s="24">
        <v>10</v>
      </c>
      <c r="S1" s="24">
        <v>11</v>
      </c>
      <c r="T1" s="24">
        <v>12</v>
      </c>
      <c r="U1" s="24">
        <v>13</v>
      </c>
      <c r="V1" s="24">
        <v>14</v>
      </c>
      <c r="W1" s="24">
        <v>15</v>
      </c>
      <c r="X1" s="24">
        <v>16</v>
      </c>
      <c r="Y1" s="24">
        <v>17</v>
      </c>
      <c r="Z1" s="24">
        <v>18</v>
      </c>
      <c r="AA1" s="24">
        <v>19</v>
      </c>
      <c r="AB1" s="24">
        <v>20</v>
      </c>
      <c r="AC1" s="24">
        <v>21</v>
      </c>
      <c r="AD1" s="24">
        <v>22</v>
      </c>
      <c r="AE1" s="24">
        <v>23</v>
      </c>
      <c r="AF1" s="24">
        <v>24</v>
      </c>
      <c r="AG1" s="24">
        <v>25</v>
      </c>
      <c r="AH1" s="24">
        <v>26</v>
      </c>
      <c r="AI1" s="24">
        <v>27</v>
      </c>
      <c r="AJ1" s="24">
        <v>28</v>
      </c>
      <c r="AK1" s="24">
        <v>29</v>
      </c>
      <c r="AL1" s="24">
        <v>30</v>
      </c>
      <c r="AM1" s="25"/>
    </row>
    <row r="2" spans="1:39" ht="16.5" customHeight="1" x14ac:dyDescent="0.3">
      <c r="A2" s="25"/>
      <c r="B2" s="25"/>
      <c r="C2" s="25"/>
      <c r="D2" s="27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ht="17.399999999999999" x14ac:dyDescent="0.35">
      <c r="A3" s="28"/>
      <c r="B3" s="8" t="s">
        <v>2</v>
      </c>
      <c r="C3" s="29"/>
      <c r="D3" s="30"/>
      <c r="E3" s="29"/>
      <c r="F3" s="29"/>
      <c r="G3" s="28"/>
      <c r="H3" s="28"/>
      <c r="I3" s="73">
        <v>2026</v>
      </c>
      <c r="J3" s="31">
        <f t="shared" ref="J3:AL3" si="0">I3+1</f>
        <v>2027</v>
      </c>
      <c r="K3" s="31">
        <f t="shared" si="0"/>
        <v>2028</v>
      </c>
      <c r="L3" s="31">
        <f t="shared" si="0"/>
        <v>2029</v>
      </c>
      <c r="M3" s="31">
        <f t="shared" si="0"/>
        <v>2030</v>
      </c>
      <c r="N3" s="31">
        <f t="shared" si="0"/>
        <v>2031</v>
      </c>
      <c r="O3" s="31">
        <f t="shared" si="0"/>
        <v>2032</v>
      </c>
      <c r="P3" s="31">
        <f t="shared" si="0"/>
        <v>2033</v>
      </c>
      <c r="Q3" s="31">
        <f t="shared" si="0"/>
        <v>2034</v>
      </c>
      <c r="R3" s="31">
        <f t="shared" si="0"/>
        <v>2035</v>
      </c>
      <c r="S3" s="31">
        <f t="shared" si="0"/>
        <v>2036</v>
      </c>
      <c r="T3" s="31">
        <f t="shared" si="0"/>
        <v>2037</v>
      </c>
      <c r="U3" s="31">
        <f t="shared" si="0"/>
        <v>2038</v>
      </c>
      <c r="V3" s="31">
        <f t="shared" si="0"/>
        <v>2039</v>
      </c>
      <c r="W3" s="31">
        <f t="shared" si="0"/>
        <v>2040</v>
      </c>
      <c r="X3" s="31">
        <f t="shared" si="0"/>
        <v>2041</v>
      </c>
      <c r="Y3" s="31">
        <f t="shared" si="0"/>
        <v>2042</v>
      </c>
      <c r="Z3" s="31">
        <f t="shared" si="0"/>
        <v>2043</v>
      </c>
      <c r="AA3" s="31">
        <f t="shared" si="0"/>
        <v>2044</v>
      </c>
      <c r="AB3" s="31">
        <f t="shared" si="0"/>
        <v>2045</v>
      </c>
      <c r="AC3" s="31">
        <f t="shared" si="0"/>
        <v>2046</v>
      </c>
      <c r="AD3" s="31">
        <f t="shared" si="0"/>
        <v>2047</v>
      </c>
      <c r="AE3" s="31">
        <f t="shared" si="0"/>
        <v>2048</v>
      </c>
      <c r="AF3" s="31">
        <f t="shared" si="0"/>
        <v>2049</v>
      </c>
      <c r="AG3" s="31">
        <f t="shared" si="0"/>
        <v>2050</v>
      </c>
      <c r="AH3" s="31">
        <f t="shared" si="0"/>
        <v>2051</v>
      </c>
      <c r="AI3" s="31">
        <f t="shared" si="0"/>
        <v>2052</v>
      </c>
      <c r="AJ3" s="31">
        <f t="shared" si="0"/>
        <v>2053</v>
      </c>
      <c r="AK3" s="31">
        <f t="shared" si="0"/>
        <v>2054</v>
      </c>
      <c r="AL3" s="31">
        <f t="shared" si="0"/>
        <v>2055</v>
      </c>
      <c r="AM3" s="25"/>
    </row>
    <row r="4" spans="1:39" ht="15.6" x14ac:dyDescent="0.3">
      <c r="A4" s="28"/>
      <c r="B4" s="9" t="s">
        <v>3</v>
      </c>
      <c r="C4" s="10">
        <v>21</v>
      </c>
      <c r="D4" s="32"/>
      <c r="E4" s="28"/>
      <c r="F4" s="28"/>
      <c r="G4" s="33"/>
      <c r="H4" s="33" t="s">
        <v>4</v>
      </c>
      <c r="I4" s="34">
        <f t="shared" ref="I4:AL4" si="1">$D$57</f>
        <v>4.8500000000000001E-2</v>
      </c>
      <c r="J4" s="34">
        <f t="shared" si="1"/>
        <v>4.8500000000000001E-2</v>
      </c>
      <c r="K4" s="34">
        <f t="shared" si="1"/>
        <v>4.8500000000000001E-2</v>
      </c>
      <c r="L4" s="34">
        <f t="shared" si="1"/>
        <v>4.8500000000000001E-2</v>
      </c>
      <c r="M4" s="34">
        <f t="shared" si="1"/>
        <v>4.8500000000000001E-2</v>
      </c>
      <c r="N4" s="34">
        <f t="shared" si="1"/>
        <v>4.8500000000000001E-2</v>
      </c>
      <c r="O4" s="34">
        <f t="shared" si="1"/>
        <v>4.8500000000000001E-2</v>
      </c>
      <c r="P4" s="34">
        <f t="shared" si="1"/>
        <v>4.8500000000000001E-2</v>
      </c>
      <c r="Q4" s="34">
        <f t="shared" si="1"/>
        <v>4.8500000000000001E-2</v>
      </c>
      <c r="R4" s="34">
        <f t="shared" si="1"/>
        <v>4.8500000000000001E-2</v>
      </c>
      <c r="S4" s="34">
        <f t="shared" si="1"/>
        <v>4.8500000000000001E-2</v>
      </c>
      <c r="T4" s="34">
        <f t="shared" si="1"/>
        <v>4.8500000000000001E-2</v>
      </c>
      <c r="U4" s="34">
        <f t="shared" si="1"/>
        <v>4.8500000000000001E-2</v>
      </c>
      <c r="V4" s="34">
        <f t="shared" si="1"/>
        <v>4.8500000000000001E-2</v>
      </c>
      <c r="W4" s="34">
        <f t="shared" si="1"/>
        <v>4.8500000000000001E-2</v>
      </c>
      <c r="X4" s="34">
        <f t="shared" si="1"/>
        <v>4.8500000000000001E-2</v>
      </c>
      <c r="Y4" s="34">
        <f t="shared" si="1"/>
        <v>4.8500000000000001E-2</v>
      </c>
      <c r="Z4" s="34">
        <f t="shared" si="1"/>
        <v>4.8500000000000001E-2</v>
      </c>
      <c r="AA4" s="34">
        <f t="shared" si="1"/>
        <v>4.8500000000000001E-2</v>
      </c>
      <c r="AB4" s="34">
        <f t="shared" si="1"/>
        <v>4.8500000000000001E-2</v>
      </c>
      <c r="AC4" s="34">
        <f t="shared" si="1"/>
        <v>4.8500000000000001E-2</v>
      </c>
      <c r="AD4" s="34">
        <f t="shared" si="1"/>
        <v>4.8500000000000001E-2</v>
      </c>
      <c r="AE4" s="34">
        <f t="shared" si="1"/>
        <v>4.8500000000000001E-2</v>
      </c>
      <c r="AF4" s="34">
        <f t="shared" si="1"/>
        <v>4.8500000000000001E-2</v>
      </c>
      <c r="AG4" s="34">
        <f t="shared" si="1"/>
        <v>4.8500000000000001E-2</v>
      </c>
      <c r="AH4" s="34">
        <f t="shared" si="1"/>
        <v>4.8500000000000001E-2</v>
      </c>
      <c r="AI4" s="34">
        <f t="shared" si="1"/>
        <v>4.8500000000000001E-2</v>
      </c>
      <c r="AJ4" s="34">
        <f t="shared" si="1"/>
        <v>4.8500000000000001E-2</v>
      </c>
      <c r="AK4" s="34">
        <f t="shared" si="1"/>
        <v>4.8500000000000001E-2</v>
      </c>
      <c r="AL4" s="34">
        <f t="shared" si="1"/>
        <v>4.8500000000000001E-2</v>
      </c>
      <c r="AM4" s="25"/>
    </row>
    <row r="5" spans="1:39" ht="14.4" x14ac:dyDescent="0.3">
      <c r="A5" s="28"/>
      <c r="B5" s="33"/>
      <c r="C5" s="33"/>
      <c r="D5" s="32"/>
      <c r="E5" s="28"/>
      <c r="F5" s="28"/>
      <c r="G5" s="33"/>
      <c r="H5" s="33" t="s">
        <v>5</v>
      </c>
      <c r="I5" s="34">
        <f>$F$37</f>
        <v>3.3333333333333333E-2</v>
      </c>
      <c r="J5" s="34">
        <f t="shared" ref="J5:AL5" si="2">$F$37</f>
        <v>3.3333333333333333E-2</v>
      </c>
      <c r="K5" s="34">
        <f t="shared" si="2"/>
        <v>3.3333333333333333E-2</v>
      </c>
      <c r="L5" s="34">
        <f t="shared" si="2"/>
        <v>3.3333333333333333E-2</v>
      </c>
      <c r="M5" s="34">
        <f t="shared" si="2"/>
        <v>3.3333333333333333E-2</v>
      </c>
      <c r="N5" s="34">
        <f t="shared" si="2"/>
        <v>3.3333333333333333E-2</v>
      </c>
      <c r="O5" s="34">
        <f t="shared" si="2"/>
        <v>3.3333333333333333E-2</v>
      </c>
      <c r="P5" s="34">
        <f t="shared" si="2"/>
        <v>3.3333333333333333E-2</v>
      </c>
      <c r="Q5" s="34">
        <f t="shared" si="2"/>
        <v>3.3333333333333333E-2</v>
      </c>
      <c r="R5" s="34">
        <f t="shared" si="2"/>
        <v>3.3333333333333333E-2</v>
      </c>
      <c r="S5" s="34">
        <f t="shared" si="2"/>
        <v>3.3333333333333333E-2</v>
      </c>
      <c r="T5" s="34">
        <f t="shared" si="2"/>
        <v>3.3333333333333333E-2</v>
      </c>
      <c r="U5" s="34">
        <f t="shared" si="2"/>
        <v>3.3333333333333333E-2</v>
      </c>
      <c r="V5" s="34">
        <f t="shared" si="2"/>
        <v>3.3333333333333333E-2</v>
      </c>
      <c r="W5" s="34">
        <f t="shared" si="2"/>
        <v>3.3333333333333333E-2</v>
      </c>
      <c r="X5" s="34">
        <f t="shared" si="2"/>
        <v>3.3333333333333333E-2</v>
      </c>
      <c r="Y5" s="34">
        <f t="shared" si="2"/>
        <v>3.3333333333333333E-2</v>
      </c>
      <c r="Z5" s="34">
        <f t="shared" si="2"/>
        <v>3.3333333333333333E-2</v>
      </c>
      <c r="AA5" s="34">
        <f t="shared" si="2"/>
        <v>3.3333333333333333E-2</v>
      </c>
      <c r="AB5" s="34">
        <f t="shared" si="2"/>
        <v>3.3333333333333333E-2</v>
      </c>
      <c r="AC5" s="34">
        <f t="shared" si="2"/>
        <v>3.3333333333333333E-2</v>
      </c>
      <c r="AD5" s="34">
        <f t="shared" si="2"/>
        <v>3.3333333333333333E-2</v>
      </c>
      <c r="AE5" s="34">
        <f t="shared" si="2"/>
        <v>3.3333333333333333E-2</v>
      </c>
      <c r="AF5" s="34">
        <f t="shared" si="2"/>
        <v>3.3333333333333333E-2</v>
      </c>
      <c r="AG5" s="34">
        <f t="shared" si="2"/>
        <v>3.3333333333333333E-2</v>
      </c>
      <c r="AH5" s="34">
        <f t="shared" si="2"/>
        <v>3.3333333333333333E-2</v>
      </c>
      <c r="AI5" s="34">
        <f t="shared" si="2"/>
        <v>3.3333333333333333E-2</v>
      </c>
      <c r="AJ5" s="34">
        <f t="shared" si="2"/>
        <v>3.3333333333333333E-2</v>
      </c>
      <c r="AK5" s="34">
        <f t="shared" si="2"/>
        <v>3.3333333333333333E-2</v>
      </c>
      <c r="AL5" s="34">
        <f t="shared" si="2"/>
        <v>3.3333333333333333E-2</v>
      </c>
      <c r="AM5" s="25"/>
    </row>
    <row r="6" spans="1:39" ht="15.6" x14ac:dyDescent="0.3">
      <c r="A6" s="28"/>
      <c r="B6" s="9" t="s">
        <v>6</v>
      </c>
      <c r="C6" s="10"/>
      <c r="D6" s="32"/>
      <c r="E6" s="28"/>
      <c r="F6" s="28"/>
      <c r="G6" s="33"/>
      <c r="H6" s="33" t="s">
        <v>7</v>
      </c>
      <c r="I6" s="34">
        <f>E38</f>
        <v>2.5000000000000001E-2</v>
      </c>
      <c r="J6" s="34">
        <f t="shared" ref="J6:W6" si="3">I6</f>
        <v>2.5000000000000001E-2</v>
      </c>
      <c r="K6" s="34">
        <f t="shared" si="3"/>
        <v>2.5000000000000001E-2</v>
      </c>
      <c r="L6" s="34">
        <f t="shared" si="3"/>
        <v>2.5000000000000001E-2</v>
      </c>
      <c r="M6" s="34">
        <f t="shared" si="3"/>
        <v>2.5000000000000001E-2</v>
      </c>
      <c r="N6" s="34">
        <f t="shared" si="3"/>
        <v>2.5000000000000001E-2</v>
      </c>
      <c r="O6" s="34">
        <f t="shared" si="3"/>
        <v>2.5000000000000001E-2</v>
      </c>
      <c r="P6" s="34">
        <f t="shared" si="3"/>
        <v>2.5000000000000001E-2</v>
      </c>
      <c r="Q6" s="34">
        <f t="shared" si="3"/>
        <v>2.5000000000000001E-2</v>
      </c>
      <c r="R6" s="34">
        <f t="shared" si="3"/>
        <v>2.5000000000000001E-2</v>
      </c>
      <c r="S6" s="34">
        <f t="shared" si="3"/>
        <v>2.5000000000000001E-2</v>
      </c>
      <c r="T6" s="34">
        <f t="shared" si="3"/>
        <v>2.5000000000000001E-2</v>
      </c>
      <c r="U6" s="34">
        <f t="shared" si="3"/>
        <v>2.5000000000000001E-2</v>
      </c>
      <c r="V6" s="34">
        <f t="shared" si="3"/>
        <v>2.5000000000000001E-2</v>
      </c>
      <c r="W6" s="34">
        <f t="shared" si="3"/>
        <v>2.5000000000000001E-2</v>
      </c>
      <c r="X6" s="34">
        <f t="shared" ref="X6" si="4">W6</f>
        <v>2.5000000000000001E-2</v>
      </c>
      <c r="Y6" s="34">
        <f t="shared" ref="Y6" si="5">X6</f>
        <v>2.5000000000000001E-2</v>
      </c>
      <c r="Z6" s="34">
        <f t="shared" ref="Z6" si="6">Y6</f>
        <v>2.5000000000000001E-2</v>
      </c>
      <c r="AA6" s="34">
        <f t="shared" ref="AA6" si="7">Z6</f>
        <v>2.5000000000000001E-2</v>
      </c>
      <c r="AB6" s="34">
        <f t="shared" ref="AB6" si="8">AA6</f>
        <v>2.5000000000000001E-2</v>
      </c>
      <c r="AC6" s="34">
        <f t="shared" ref="AC6" si="9">AB6</f>
        <v>2.5000000000000001E-2</v>
      </c>
      <c r="AD6" s="34">
        <f t="shared" ref="AD6" si="10">AC6</f>
        <v>2.5000000000000001E-2</v>
      </c>
      <c r="AE6" s="34">
        <f t="shared" ref="AE6" si="11">AD6</f>
        <v>2.5000000000000001E-2</v>
      </c>
      <c r="AF6" s="34">
        <f t="shared" ref="AF6" si="12">AE6</f>
        <v>2.5000000000000001E-2</v>
      </c>
      <c r="AG6" s="34">
        <f t="shared" ref="AG6" si="13">AF6</f>
        <v>2.5000000000000001E-2</v>
      </c>
      <c r="AH6" s="34">
        <f t="shared" ref="AH6" si="14">AG6</f>
        <v>2.5000000000000001E-2</v>
      </c>
      <c r="AI6" s="34">
        <f t="shared" ref="AI6" si="15">AH6</f>
        <v>2.5000000000000001E-2</v>
      </c>
      <c r="AJ6" s="34">
        <f t="shared" ref="AJ6" si="16">AI6</f>
        <v>2.5000000000000001E-2</v>
      </c>
      <c r="AK6" s="34">
        <f t="shared" ref="AK6" si="17">AJ6</f>
        <v>2.5000000000000001E-2</v>
      </c>
      <c r="AL6" s="34">
        <f t="shared" ref="AL6" si="18">AK6</f>
        <v>2.5000000000000001E-2</v>
      </c>
      <c r="AM6" s="25"/>
    </row>
    <row r="7" spans="1:39" ht="15.6" x14ac:dyDescent="0.3">
      <c r="A7" s="33"/>
      <c r="B7" s="9" t="s">
        <v>8</v>
      </c>
      <c r="C7" s="10">
        <v>21</v>
      </c>
      <c r="D7" s="32"/>
      <c r="E7" s="28"/>
      <c r="F7" s="28"/>
      <c r="G7" s="33"/>
      <c r="H7" s="33" t="s">
        <v>79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25"/>
    </row>
    <row r="8" spans="1:39" ht="15.6" x14ac:dyDescent="0.3">
      <c r="A8" s="33"/>
      <c r="B8" s="9" t="s">
        <v>9</v>
      </c>
      <c r="C8" s="10">
        <f>3*16</f>
        <v>48</v>
      </c>
      <c r="D8" s="32"/>
      <c r="E8" s="28"/>
      <c r="F8" s="28"/>
      <c r="G8" s="33"/>
      <c r="H8" s="33" t="s">
        <v>10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25"/>
    </row>
    <row r="9" spans="1:39" ht="15.6" x14ac:dyDescent="0.3">
      <c r="A9" s="33"/>
      <c r="B9" s="9" t="s">
        <v>11</v>
      </c>
      <c r="C9" s="10"/>
      <c r="D9" s="32"/>
      <c r="E9" s="28"/>
      <c r="F9" s="28"/>
      <c r="G9" s="33"/>
      <c r="H9" s="33" t="s">
        <v>12</v>
      </c>
      <c r="I9" s="34">
        <v>0.02</v>
      </c>
      <c r="J9" s="34">
        <v>0.02</v>
      </c>
      <c r="K9" s="34">
        <v>0.02</v>
      </c>
      <c r="L9" s="34">
        <v>0.02</v>
      </c>
      <c r="M9" s="34">
        <v>0.02</v>
      </c>
      <c r="N9" s="34">
        <v>0.02</v>
      </c>
      <c r="O9" s="34">
        <v>0.02</v>
      </c>
      <c r="P9" s="34">
        <v>0.02</v>
      </c>
      <c r="Q9" s="34">
        <v>0.02</v>
      </c>
      <c r="R9" s="34">
        <v>0.02</v>
      </c>
      <c r="S9" s="34">
        <v>0.02</v>
      </c>
      <c r="T9" s="34">
        <v>0.02</v>
      </c>
      <c r="U9" s="34">
        <v>0.02</v>
      </c>
      <c r="V9" s="34">
        <v>0.02</v>
      </c>
      <c r="W9" s="34">
        <v>0.02</v>
      </c>
      <c r="X9" s="34">
        <v>0.02</v>
      </c>
      <c r="Y9" s="34">
        <v>0.02</v>
      </c>
      <c r="Z9" s="34">
        <v>0.02</v>
      </c>
      <c r="AA9" s="34">
        <v>0.02</v>
      </c>
      <c r="AB9" s="34">
        <v>0.02</v>
      </c>
      <c r="AC9" s="34">
        <v>0.02</v>
      </c>
      <c r="AD9" s="34">
        <v>0.02</v>
      </c>
      <c r="AE9" s="34">
        <v>0.02</v>
      </c>
      <c r="AF9" s="34">
        <v>0.02</v>
      </c>
      <c r="AG9" s="34">
        <v>0.02</v>
      </c>
      <c r="AH9" s="34">
        <v>0.02</v>
      </c>
      <c r="AI9" s="34">
        <v>0.02</v>
      </c>
      <c r="AJ9" s="34">
        <v>0.02</v>
      </c>
      <c r="AK9" s="34">
        <v>0.02</v>
      </c>
      <c r="AL9" s="34">
        <v>0.02</v>
      </c>
      <c r="AM9" s="25"/>
    </row>
    <row r="10" spans="1:39" ht="15.6" x14ac:dyDescent="0.3">
      <c r="A10" s="33"/>
      <c r="B10" s="9" t="s">
        <v>13</v>
      </c>
      <c r="C10" s="10"/>
      <c r="D10" s="32"/>
      <c r="E10" s="28"/>
      <c r="F10" s="28"/>
      <c r="G10" s="33"/>
      <c r="H10" s="33" t="s">
        <v>14</v>
      </c>
      <c r="I10" s="34">
        <v>2.3800000000000002E-2</v>
      </c>
      <c r="J10" s="34">
        <v>2.2499999999999999E-2</v>
      </c>
      <c r="K10" s="34">
        <v>2.2499999999999999E-2</v>
      </c>
      <c r="L10" s="34">
        <v>2.5000000000000001E-2</v>
      </c>
      <c r="M10" s="34">
        <v>2.5000000000000001E-2</v>
      </c>
      <c r="N10" s="34">
        <v>2.5000000000000001E-2</v>
      </c>
      <c r="O10" s="34">
        <v>2.5000000000000001E-2</v>
      </c>
      <c r="P10" s="34">
        <v>2.5000000000000001E-2</v>
      </c>
      <c r="Q10" s="34">
        <v>2.5000000000000001E-2</v>
      </c>
      <c r="R10" s="34">
        <v>2.5000000000000001E-2</v>
      </c>
      <c r="S10" s="34">
        <v>2.5000000000000001E-2</v>
      </c>
      <c r="T10" s="34">
        <v>2.5000000000000001E-2</v>
      </c>
      <c r="U10" s="34">
        <v>2.5000000000000001E-2</v>
      </c>
      <c r="V10" s="34">
        <v>2.5000000000000001E-2</v>
      </c>
      <c r="W10" s="34">
        <v>2.5000000000000001E-2</v>
      </c>
      <c r="X10" s="34">
        <v>2.5000000000000001E-2</v>
      </c>
      <c r="Y10" s="34">
        <v>2.5000000000000001E-2</v>
      </c>
      <c r="Z10" s="34">
        <v>2.5000000000000001E-2</v>
      </c>
      <c r="AA10" s="34">
        <v>2.5000000000000001E-2</v>
      </c>
      <c r="AB10" s="34">
        <v>2.5000000000000001E-2</v>
      </c>
      <c r="AC10" s="34">
        <v>2.5000000000000001E-2</v>
      </c>
      <c r="AD10" s="34">
        <v>2.5000000000000001E-2</v>
      </c>
      <c r="AE10" s="34">
        <v>2.5000000000000001E-2</v>
      </c>
      <c r="AF10" s="34">
        <v>2.5000000000000001E-2</v>
      </c>
      <c r="AG10" s="34">
        <v>2.5000000000000001E-2</v>
      </c>
      <c r="AH10" s="34">
        <v>2.5000000000000001E-2</v>
      </c>
      <c r="AI10" s="34">
        <v>2.5000000000000001E-2</v>
      </c>
      <c r="AJ10" s="34">
        <v>2.5000000000000001E-2</v>
      </c>
      <c r="AK10" s="34">
        <v>2.5000000000000001E-2</v>
      </c>
      <c r="AL10" s="34">
        <v>2.5000000000000001E-2</v>
      </c>
      <c r="AM10" s="25"/>
    </row>
    <row r="11" spans="1:39" ht="15.6" x14ac:dyDescent="0.3">
      <c r="A11" s="33"/>
      <c r="B11" s="9"/>
      <c r="C11" s="36"/>
      <c r="D11" s="32"/>
      <c r="E11" s="28"/>
      <c r="F11" s="28"/>
      <c r="G11" s="33"/>
      <c r="H11" s="33" t="s">
        <v>15</v>
      </c>
      <c r="I11" s="13">
        <f>C17/12</f>
        <v>10500</v>
      </c>
      <c r="J11" s="13">
        <f t="shared" ref="J11:AL11" si="19">I11*(1+J9)</f>
        <v>10710</v>
      </c>
      <c r="K11" s="13">
        <f t="shared" si="19"/>
        <v>10924.2</v>
      </c>
      <c r="L11" s="13">
        <f t="shared" si="19"/>
        <v>11142.684000000001</v>
      </c>
      <c r="M11" s="13">
        <f t="shared" si="19"/>
        <v>11365.537680000001</v>
      </c>
      <c r="N11" s="13">
        <f t="shared" si="19"/>
        <v>11592.848433600002</v>
      </c>
      <c r="O11" s="13">
        <f t="shared" si="19"/>
        <v>11824.705402272002</v>
      </c>
      <c r="P11" s="13">
        <f t="shared" si="19"/>
        <v>12061.199510317443</v>
      </c>
      <c r="Q11" s="13">
        <f t="shared" si="19"/>
        <v>12302.423500523792</v>
      </c>
      <c r="R11" s="13">
        <f t="shared" si="19"/>
        <v>12548.471970534267</v>
      </c>
      <c r="S11" s="13">
        <f t="shared" si="19"/>
        <v>12799.441409944953</v>
      </c>
      <c r="T11" s="13">
        <f t="shared" si="19"/>
        <v>13055.430238143852</v>
      </c>
      <c r="U11" s="13">
        <f t="shared" si="19"/>
        <v>13316.53884290673</v>
      </c>
      <c r="V11" s="13">
        <f t="shared" si="19"/>
        <v>13582.869619764864</v>
      </c>
      <c r="W11" s="13">
        <f t="shared" si="19"/>
        <v>13854.527012160162</v>
      </c>
      <c r="X11" s="13">
        <f t="shared" si="19"/>
        <v>14131.617552403366</v>
      </c>
      <c r="Y11" s="13">
        <f t="shared" si="19"/>
        <v>14414.249903451433</v>
      </c>
      <c r="Z11" s="13">
        <f t="shared" si="19"/>
        <v>14702.534901520463</v>
      </c>
      <c r="AA11" s="13">
        <f t="shared" si="19"/>
        <v>14996.585599550872</v>
      </c>
      <c r="AB11" s="13">
        <f t="shared" si="19"/>
        <v>15296.517311541889</v>
      </c>
      <c r="AC11" s="13">
        <f t="shared" si="19"/>
        <v>15602.447657772727</v>
      </c>
      <c r="AD11" s="13">
        <f t="shared" si="19"/>
        <v>15914.496610928181</v>
      </c>
      <c r="AE11" s="13">
        <f t="shared" si="19"/>
        <v>16232.786543146745</v>
      </c>
      <c r="AF11" s="13">
        <f t="shared" si="19"/>
        <v>16557.442274009682</v>
      </c>
      <c r="AG11" s="13">
        <f t="shared" si="19"/>
        <v>16888.591119489876</v>
      </c>
      <c r="AH11" s="13">
        <f t="shared" si="19"/>
        <v>17226.362941879674</v>
      </c>
      <c r="AI11" s="13">
        <f t="shared" si="19"/>
        <v>17570.890200717269</v>
      </c>
      <c r="AJ11" s="13">
        <f t="shared" si="19"/>
        <v>17922.308004731614</v>
      </c>
      <c r="AK11" s="13">
        <f t="shared" si="19"/>
        <v>18280.754164826249</v>
      </c>
      <c r="AL11" s="13">
        <f t="shared" si="19"/>
        <v>18646.369248122774</v>
      </c>
      <c r="AM11" s="25"/>
    </row>
    <row r="12" spans="1:39" ht="15.6" x14ac:dyDescent="0.3">
      <c r="A12" s="33"/>
      <c r="B12" s="9" t="s">
        <v>16</v>
      </c>
      <c r="C12" s="12">
        <f>(C4*C15)+C8</f>
        <v>384</v>
      </c>
      <c r="D12" s="32"/>
      <c r="E12" s="28"/>
      <c r="F12" s="28"/>
      <c r="G12" s="33"/>
      <c r="H12" s="37" t="s">
        <v>17</v>
      </c>
      <c r="I12" s="38">
        <v>2026</v>
      </c>
      <c r="J12" s="38">
        <f t="shared" ref="J12:AL12" si="20">I12+1</f>
        <v>2027</v>
      </c>
      <c r="K12" s="38">
        <f t="shared" si="20"/>
        <v>2028</v>
      </c>
      <c r="L12" s="38">
        <f t="shared" si="20"/>
        <v>2029</v>
      </c>
      <c r="M12" s="38">
        <f t="shared" si="20"/>
        <v>2030</v>
      </c>
      <c r="N12" s="38">
        <f t="shared" si="20"/>
        <v>2031</v>
      </c>
      <c r="O12" s="38">
        <f t="shared" si="20"/>
        <v>2032</v>
      </c>
      <c r="P12" s="38">
        <f t="shared" si="20"/>
        <v>2033</v>
      </c>
      <c r="Q12" s="38">
        <f t="shared" si="20"/>
        <v>2034</v>
      </c>
      <c r="R12" s="38">
        <f t="shared" si="20"/>
        <v>2035</v>
      </c>
      <c r="S12" s="38">
        <f t="shared" si="20"/>
        <v>2036</v>
      </c>
      <c r="T12" s="38">
        <f t="shared" si="20"/>
        <v>2037</v>
      </c>
      <c r="U12" s="38">
        <f t="shared" si="20"/>
        <v>2038</v>
      </c>
      <c r="V12" s="38">
        <f t="shared" si="20"/>
        <v>2039</v>
      </c>
      <c r="W12" s="38">
        <f t="shared" si="20"/>
        <v>2040</v>
      </c>
      <c r="X12" s="38">
        <f t="shared" si="20"/>
        <v>2041</v>
      </c>
      <c r="Y12" s="38">
        <f t="shared" si="20"/>
        <v>2042</v>
      </c>
      <c r="Z12" s="38">
        <f t="shared" si="20"/>
        <v>2043</v>
      </c>
      <c r="AA12" s="38">
        <f t="shared" si="20"/>
        <v>2044</v>
      </c>
      <c r="AB12" s="38">
        <f t="shared" si="20"/>
        <v>2045</v>
      </c>
      <c r="AC12" s="38">
        <f t="shared" si="20"/>
        <v>2046</v>
      </c>
      <c r="AD12" s="38">
        <f t="shared" si="20"/>
        <v>2047</v>
      </c>
      <c r="AE12" s="38">
        <f t="shared" si="20"/>
        <v>2048</v>
      </c>
      <c r="AF12" s="38">
        <f t="shared" si="20"/>
        <v>2049</v>
      </c>
      <c r="AG12" s="38">
        <f t="shared" si="20"/>
        <v>2050</v>
      </c>
      <c r="AH12" s="38">
        <f t="shared" si="20"/>
        <v>2051</v>
      </c>
      <c r="AI12" s="38">
        <f t="shared" si="20"/>
        <v>2052</v>
      </c>
      <c r="AJ12" s="38">
        <f t="shared" si="20"/>
        <v>2053</v>
      </c>
      <c r="AK12" s="38">
        <f t="shared" si="20"/>
        <v>2054</v>
      </c>
      <c r="AL12" s="38">
        <f t="shared" si="20"/>
        <v>2055</v>
      </c>
      <c r="AM12" s="25"/>
    </row>
    <row r="13" spans="1:39" ht="15.6" x14ac:dyDescent="0.3">
      <c r="A13" s="33"/>
      <c r="B13" s="9" t="s">
        <v>18</v>
      </c>
      <c r="C13" s="12">
        <f>C12/D13</f>
        <v>480</v>
      </c>
      <c r="D13" s="39">
        <v>0.8</v>
      </c>
      <c r="E13" s="40" t="s">
        <v>80</v>
      </c>
      <c r="F13" s="28"/>
      <c r="G13" s="33"/>
      <c r="H13" s="33" t="s">
        <v>19</v>
      </c>
      <c r="I13" s="13">
        <f>C17*1</f>
        <v>126000</v>
      </c>
      <c r="J13" s="13">
        <f t="shared" ref="J13:AL13" si="21">I13*(1+J9)</f>
        <v>128520</v>
      </c>
      <c r="K13" s="13">
        <f t="shared" si="21"/>
        <v>131090.4</v>
      </c>
      <c r="L13" s="13">
        <f t="shared" si="21"/>
        <v>133712.20799999998</v>
      </c>
      <c r="M13" s="13">
        <f t="shared" si="21"/>
        <v>136386.45215999999</v>
      </c>
      <c r="N13" s="13">
        <f t="shared" si="21"/>
        <v>139114.18120319999</v>
      </c>
      <c r="O13" s="13">
        <f t="shared" si="21"/>
        <v>141896.46482726399</v>
      </c>
      <c r="P13" s="13">
        <f t="shared" si="21"/>
        <v>144734.39412380927</v>
      </c>
      <c r="Q13" s="13">
        <f t="shared" si="21"/>
        <v>147629.08200628546</v>
      </c>
      <c r="R13" s="13">
        <f t="shared" si="21"/>
        <v>150581.66364641118</v>
      </c>
      <c r="S13" s="13">
        <f t="shared" si="21"/>
        <v>153593.29691933939</v>
      </c>
      <c r="T13" s="13">
        <f t="shared" si="21"/>
        <v>156665.16285772619</v>
      </c>
      <c r="U13" s="13">
        <f t="shared" si="21"/>
        <v>159798.46611488072</v>
      </c>
      <c r="V13" s="13">
        <f t="shared" si="21"/>
        <v>162994.43543717833</v>
      </c>
      <c r="W13" s="13">
        <f t="shared" si="21"/>
        <v>166254.32414592188</v>
      </c>
      <c r="X13" s="13">
        <f t="shared" si="21"/>
        <v>169579.41062884033</v>
      </c>
      <c r="Y13" s="13">
        <f t="shared" si="21"/>
        <v>172970.99884141714</v>
      </c>
      <c r="Z13" s="13">
        <f t="shared" si="21"/>
        <v>176430.4188182455</v>
      </c>
      <c r="AA13" s="13">
        <f t="shared" si="21"/>
        <v>179959.02719461042</v>
      </c>
      <c r="AB13" s="13">
        <f t="shared" si="21"/>
        <v>183558.20773850262</v>
      </c>
      <c r="AC13" s="13">
        <f t="shared" si="21"/>
        <v>187229.37189327268</v>
      </c>
      <c r="AD13" s="13">
        <f t="shared" si="21"/>
        <v>190973.95933113815</v>
      </c>
      <c r="AE13" s="13">
        <f t="shared" si="21"/>
        <v>194793.43851776092</v>
      </c>
      <c r="AF13" s="13">
        <f t="shared" si="21"/>
        <v>198689.30728811614</v>
      </c>
      <c r="AG13" s="13">
        <f t="shared" si="21"/>
        <v>202663.09343387847</v>
      </c>
      <c r="AH13" s="13">
        <f t="shared" si="21"/>
        <v>206716.35530255604</v>
      </c>
      <c r="AI13" s="13">
        <f t="shared" si="21"/>
        <v>210850.68240860716</v>
      </c>
      <c r="AJ13" s="13">
        <f t="shared" si="21"/>
        <v>215067.6960567793</v>
      </c>
      <c r="AK13" s="13">
        <f t="shared" si="21"/>
        <v>219369.0499779149</v>
      </c>
      <c r="AL13" s="13">
        <f t="shared" si="21"/>
        <v>223756.43097747321</v>
      </c>
      <c r="AM13" s="25"/>
    </row>
    <row r="14" spans="1:39" ht="15.6" x14ac:dyDescent="0.3">
      <c r="A14" s="33"/>
      <c r="B14" s="9" t="s">
        <v>20</v>
      </c>
      <c r="C14" s="11">
        <v>300</v>
      </c>
      <c r="D14" s="36"/>
      <c r="E14" s="33"/>
      <c r="F14" s="33"/>
      <c r="G14" s="33"/>
      <c r="H14" s="33" t="s">
        <v>21</v>
      </c>
      <c r="I14" s="13">
        <f>C22*(1+I7)</f>
        <v>0</v>
      </c>
      <c r="J14" s="13">
        <f t="shared" ref="J14:AL14" si="22">I14*(1+J7)</f>
        <v>0</v>
      </c>
      <c r="K14" s="13">
        <f t="shared" si="22"/>
        <v>0</v>
      </c>
      <c r="L14" s="13">
        <f t="shared" si="22"/>
        <v>0</v>
      </c>
      <c r="M14" s="13">
        <f t="shared" si="22"/>
        <v>0</v>
      </c>
      <c r="N14" s="13">
        <f t="shared" si="22"/>
        <v>0</v>
      </c>
      <c r="O14" s="13">
        <f t="shared" si="22"/>
        <v>0</v>
      </c>
      <c r="P14" s="13">
        <f t="shared" si="22"/>
        <v>0</v>
      </c>
      <c r="Q14" s="13">
        <f t="shared" si="22"/>
        <v>0</v>
      </c>
      <c r="R14" s="13">
        <f t="shared" si="22"/>
        <v>0</v>
      </c>
      <c r="S14" s="13">
        <f t="shared" si="22"/>
        <v>0</v>
      </c>
      <c r="T14" s="13">
        <f t="shared" si="22"/>
        <v>0</v>
      </c>
      <c r="U14" s="13">
        <f t="shared" si="22"/>
        <v>0</v>
      </c>
      <c r="V14" s="13">
        <f t="shared" si="22"/>
        <v>0</v>
      </c>
      <c r="W14" s="13">
        <f t="shared" si="22"/>
        <v>0</v>
      </c>
      <c r="X14" s="13">
        <f t="shared" si="22"/>
        <v>0</v>
      </c>
      <c r="Y14" s="13">
        <f t="shared" si="22"/>
        <v>0</v>
      </c>
      <c r="Z14" s="13">
        <f t="shared" si="22"/>
        <v>0</v>
      </c>
      <c r="AA14" s="13">
        <f t="shared" si="22"/>
        <v>0</v>
      </c>
      <c r="AB14" s="13">
        <f t="shared" si="22"/>
        <v>0</v>
      </c>
      <c r="AC14" s="13">
        <f t="shared" si="22"/>
        <v>0</v>
      </c>
      <c r="AD14" s="13">
        <f t="shared" si="22"/>
        <v>0</v>
      </c>
      <c r="AE14" s="13">
        <f t="shared" si="22"/>
        <v>0</v>
      </c>
      <c r="AF14" s="13">
        <f t="shared" si="22"/>
        <v>0</v>
      </c>
      <c r="AG14" s="13">
        <f t="shared" si="22"/>
        <v>0</v>
      </c>
      <c r="AH14" s="13">
        <f t="shared" si="22"/>
        <v>0</v>
      </c>
      <c r="AI14" s="13">
        <f t="shared" si="22"/>
        <v>0</v>
      </c>
      <c r="AJ14" s="13">
        <f t="shared" si="22"/>
        <v>0</v>
      </c>
      <c r="AK14" s="13">
        <f t="shared" si="22"/>
        <v>0</v>
      </c>
      <c r="AL14" s="13">
        <f t="shared" si="22"/>
        <v>0</v>
      </c>
      <c r="AM14" s="25"/>
    </row>
    <row r="15" spans="1:39" ht="15.6" x14ac:dyDescent="0.3">
      <c r="A15" s="33"/>
      <c r="B15" s="9" t="s">
        <v>22</v>
      </c>
      <c r="C15" s="10">
        <v>16</v>
      </c>
      <c r="E15" s="33" t="s">
        <v>23</v>
      </c>
      <c r="F15" s="33"/>
      <c r="G15" s="33"/>
      <c r="H15" s="33" t="s">
        <v>24</v>
      </c>
      <c r="I15" s="13">
        <f>C19*(1+I10)</f>
        <v>25595</v>
      </c>
      <c r="J15" s="13">
        <f t="shared" ref="J15:AL15" si="23">I15*(1+J10)</f>
        <v>26170.887500000001</v>
      </c>
      <c r="K15" s="13">
        <f t="shared" si="23"/>
        <v>26759.73246875</v>
      </c>
      <c r="L15" s="13">
        <f t="shared" si="23"/>
        <v>27428.725780468747</v>
      </c>
      <c r="M15" s="13">
        <f t="shared" si="23"/>
        <v>28114.443924980464</v>
      </c>
      <c r="N15" s="13">
        <f t="shared" si="23"/>
        <v>28817.305023104971</v>
      </c>
      <c r="O15" s="13">
        <f t="shared" si="23"/>
        <v>29537.737648682592</v>
      </c>
      <c r="P15" s="13">
        <f t="shared" si="23"/>
        <v>30276.181089899655</v>
      </c>
      <c r="Q15" s="13">
        <f t="shared" si="23"/>
        <v>31033.085617147146</v>
      </c>
      <c r="R15" s="13">
        <f t="shared" si="23"/>
        <v>31808.912757575821</v>
      </c>
      <c r="S15" s="13">
        <f t="shared" si="23"/>
        <v>32604.135576515215</v>
      </c>
      <c r="T15" s="13">
        <f t="shared" si="23"/>
        <v>33419.238965928089</v>
      </c>
      <c r="U15" s="13">
        <f t="shared" si="23"/>
        <v>34254.719940076291</v>
      </c>
      <c r="V15" s="13">
        <f t="shared" si="23"/>
        <v>35111.087938578195</v>
      </c>
      <c r="W15" s="13">
        <f t="shared" si="23"/>
        <v>35988.865137042645</v>
      </c>
      <c r="X15" s="13">
        <f t="shared" si="23"/>
        <v>36888.58676546871</v>
      </c>
      <c r="Y15" s="13">
        <f t="shared" si="23"/>
        <v>37810.801434605426</v>
      </c>
      <c r="Z15" s="13">
        <f t="shared" si="23"/>
        <v>38756.071470470561</v>
      </c>
      <c r="AA15" s="13">
        <f t="shared" si="23"/>
        <v>39724.973257232319</v>
      </c>
      <c r="AB15" s="13">
        <f t="shared" si="23"/>
        <v>40718.09758866312</v>
      </c>
      <c r="AC15" s="13">
        <f t="shared" si="23"/>
        <v>41736.050028379694</v>
      </c>
      <c r="AD15" s="13">
        <f t="shared" si="23"/>
        <v>42779.451279089182</v>
      </c>
      <c r="AE15" s="13">
        <f t="shared" si="23"/>
        <v>43848.937561066406</v>
      </c>
      <c r="AF15" s="13">
        <f t="shared" si="23"/>
        <v>44945.16100009306</v>
      </c>
      <c r="AG15" s="13">
        <f t="shared" si="23"/>
        <v>46068.790025095383</v>
      </c>
      <c r="AH15" s="13">
        <f t="shared" si="23"/>
        <v>47220.509775722763</v>
      </c>
      <c r="AI15" s="13">
        <f t="shared" si="23"/>
        <v>48401.022520115825</v>
      </c>
      <c r="AJ15" s="13">
        <f t="shared" si="23"/>
        <v>49611.048083118716</v>
      </c>
      <c r="AK15" s="13">
        <f t="shared" si="23"/>
        <v>50851.324285196679</v>
      </c>
      <c r="AL15" s="13">
        <f t="shared" si="23"/>
        <v>52122.607392326594</v>
      </c>
      <c r="AM15" s="25"/>
    </row>
    <row r="16" spans="1:39" ht="15.6" x14ac:dyDescent="0.3">
      <c r="A16" s="33"/>
      <c r="B16" s="9"/>
      <c r="C16" s="33"/>
      <c r="D16" s="36"/>
      <c r="E16" s="33"/>
      <c r="F16" s="33"/>
      <c r="G16" s="33"/>
      <c r="H16" s="33" t="s">
        <v>25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25"/>
    </row>
    <row r="17" spans="1:39" ht="15.6" x14ac:dyDescent="0.3">
      <c r="A17" s="33"/>
      <c r="B17" s="9" t="s">
        <v>95</v>
      </c>
      <c r="C17" s="13">
        <f>C18*12*C4</f>
        <v>126000</v>
      </c>
      <c r="D17" s="41"/>
      <c r="E17" s="33"/>
      <c r="F17" s="33"/>
      <c r="G17" s="33"/>
      <c r="H17" s="33" t="s">
        <v>26</v>
      </c>
      <c r="I17" s="13">
        <f t="shared" ref="I17:AL17" si="24">I13-I14-I15</f>
        <v>100405</v>
      </c>
      <c r="J17" s="13">
        <f t="shared" si="24"/>
        <v>102349.1125</v>
      </c>
      <c r="K17" s="13">
        <f t="shared" si="24"/>
        <v>104330.66753124999</v>
      </c>
      <c r="L17" s="13">
        <f t="shared" si="24"/>
        <v>106283.48221953123</v>
      </c>
      <c r="M17" s="13">
        <f t="shared" si="24"/>
        <v>108272.00823501952</v>
      </c>
      <c r="N17" s="13">
        <f t="shared" si="24"/>
        <v>110296.87618009502</v>
      </c>
      <c r="O17" s="13">
        <f t="shared" si="24"/>
        <v>112358.72717858139</v>
      </c>
      <c r="P17" s="13">
        <f t="shared" si="24"/>
        <v>114458.21303390962</v>
      </c>
      <c r="Q17" s="13">
        <f t="shared" si="24"/>
        <v>116595.99638913831</v>
      </c>
      <c r="R17" s="13">
        <f t="shared" si="24"/>
        <v>118772.75088883536</v>
      </c>
      <c r="S17" s="13">
        <f t="shared" si="24"/>
        <v>120989.16134282418</v>
      </c>
      <c r="T17" s="13">
        <f t="shared" si="24"/>
        <v>123245.9238917981</v>
      </c>
      <c r="U17" s="13">
        <f t="shared" si="24"/>
        <v>125543.74617480443</v>
      </c>
      <c r="V17" s="13">
        <f t="shared" si="24"/>
        <v>127883.34749860014</v>
      </c>
      <c r="W17" s="13">
        <f t="shared" si="24"/>
        <v>130265.45900887923</v>
      </c>
      <c r="X17" s="13">
        <f t="shared" si="24"/>
        <v>132690.82386337162</v>
      </c>
      <c r="Y17" s="13">
        <f t="shared" si="24"/>
        <v>135160.1974068117</v>
      </c>
      <c r="Z17" s="13">
        <f t="shared" si="24"/>
        <v>137674.34734777495</v>
      </c>
      <c r="AA17" s="13">
        <f t="shared" si="24"/>
        <v>140234.05393737811</v>
      </c>
      <c r="AB17" s="13">
        <f t="shared" si="24"/>
        <v>142840.11014983949</v>
      </c>
      <c r="AC17" s="13">
        <f t="shared" si="24"/>
        <v>145493.32186489299</v>
      </c>
      <c r="AD17" s="13">
        <f t="shared" si="24"/>
        <v>148194.50805204897</v>
      </c>
      <c r="AE17" s="13">
        <f t="shared" si="24"/>
        <v>150944.50095669451</v>
      </c>
      <c r="AF17" s="13">
        <f t="shared" si="24"/>
        <v>153744.14628802307</v>
      </c>
      <c r="AG17" s="13">
        <f t="shared" si="24"/>
        <v>156594.3034087831</v>
      </c>
      <c r="AH17" s="13">
        <f t="shared" si="24"/>
        <v>159495.84552683326</v>
      </c>
      <c r="AI17" s="13">
        <f t="shared" si="24"/>
        <v>162449.65988849133</v>
      </c>
      <c r="AJ17" s="13">
        <f t="shared" si="24"/>
        <v>165456.64797366058</v>
      </c>
      <c r="AK17" s="13">
        <f t="shared" si="24"/>
        <v>168517.72569271823</v>
      </c>
      <c r="AL17" s="13">
        <f t="shared" si="24"/>
        <v>171633.82358514663</v>
      </c>
      <c r="AM17" s="25"/>
    </row>
    <row r="18" spans="1:39" ht="15.6" x14ac:dyDescent="0.3">
      <c r="A18" s="33"/>
      <c r="B18" s="9" t="s">
        <v>27</v>
      </c>
      <c r="C18" s="14">
        <v>500</v>
      </c>
      <c r="D18" s="42">
        <f>C18/C15</f>
        <v>31.25</v>
      </c>
      <c r="E18" s="33" t="s">
        <v>81</v>
      </c>
      <c r="F18" s="33" t="s">
        <v>82</v>
      </c>
      <c r="G18" s="33"/>
      <c r="H18" s="33"/>
      <c r="I18" s="1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25"/>
    </row>
    <row r="19" spans="1:39" ht="15.6" x14ac:dyDescent="0.3">
      <c r="A19" s="33"/>
      <c r="B19" s="9" t="s">
        <v>28</v>
      </c>
      <c r="C19" s="14">
        <v>25000</v>
      </c>
      <c r="D19" s="35">
        <f>C19/C17</f>
        <v>0.1984126984126984</v>
      </c>
      <c r="E19" s="41" t="s">
        <v>29</v>
      </c>
      <c r="F19" s="33"/>
      <c r="G19" s="33"/>
      <c r="H19" s="43" t="str">
        <f>B37</f>
        <v>Hoofdsom bank</v>
      </c>
      <c r="I19" s="13">
        <f>C37</f>
        <v>1453452</v>
      </c>
      <c r="J19" s="13">
        <f t="shared" ref="J19:R19" si="25">I19-I21</f>
        <v>1405003.6</v>
      </c>
      <c r="K19" s="13">
        <f t="shared" si="25"/>
        <v>1356555.2000000002</v>
      </c>
      <c r="L19" s="13">
        <f t="shared" si="25"/>
        <v>1308106.8000000003</v>
      </c>
      <c r="M19" s="13">
        <f t="shared" si="25"/>
        <v>1259658.4000000004</v>
      </c>
      <c r="N19" s="13">
        <f t="shared" si="25"/>
        <v>1211210.0000000005</v>
      </c>
      <c r="O19" s="13">
        <f t="shared" si="25"/>
        <v>1162761.6000000006</v>
      </c>
      <c r="P19" s="13">
        <f t="shared" si="25"/>
        <v>1114313.2000000007</v>
      </c>
      <c r="Q19" s="13">
        <f t="shared" si="25"/>
        <v>1065864.8000000007</v>
      </c>
      <c r="R19" s="13">
        <f t="shared" si="25"/>
        <v>1017416.4000000007</v>
      </c>
      <c r="S19" s="13">
        <f>R19-R21</f>
        <v>968968.0000000007</v>
      </c>
      <c r="T19" s="13">
        <f t="shared" ref="T19:W19" si="26">S19-S21</f>
        <v>920519.60000000068</v>
      </c>
      <c r="U19" s="13">
        <f t="shared" si="26"/>
        <v>872071.20000000065</v>
      </c>
      <c r="V19" s="13">
        <f t="shared" si="26"/>
        <v>823622.80000000063</v>
      </c>
      <c r="W19" s="13">
        <f t="shared" si="26"/>
        <v>775174.40000000061</v>
      </c>
      <c r="X19" s="13">
        <f>W19-W21</f>
        <v>726726.00000000058</v>
      </c>
      <c r="Y19" s="13">
        <f t="shared" ref="Y19:AL19" si="27">X19-X21</f>
        <v>702501.80000000051</v>
      </c>
      <c r="Z19" s="13">
        <f t="shared" si="27"/>
        <v>678277.60000000044</v>
      </c>
      <c r="AA19" s="13">
        <f t="shared" si="27"/>
        <v>654053.40000000037</v>
      </c>
      <c r="AB19" s="13">
        <f t="shared" si="27"/>
        <v>629829.2000000003</v>
      </c>
      <c r="AC19" s="13">
        <f t="shared" si="27"/>
        <v>605605.00000000023</v>
      </c>
      <c r="AD19" s="13">
        <f t="shared" si="27"/>
        <v>581380.80000000016</v>
      </c>
      <c r="AE19" s="13">
        <f t="shared" si="27"/>
        <v>557156.60000000009</v>
      </c>
      <c r="AF19" s="13">
        <f t="shared" si="27"/>
        <v>532932.4</v>
      </c>
      <c r="AG19" s="13">
        <f t="shared" si="27"/>
        <v>508708.2</v>
      </c>
      <c r="AH19" s="13">
        <f t="shared" si="27"/>
        <v>484484</v>
      </c>
      <c r="AI19" s="13">
        <f t="shared" si="27"/>
        <v>436035.6</v>
      </c>
      <c r="AJ19" s="13">
        <f t="shared" si="27"/>
        <v>387587.19999999995</v>
      </c>
      <c r="AK19" s="13">
        <f t="shared" si="27"/>
        <v>339138.79999999993</v>
      </c>
      <c r="AL19" s="13">
        <f t="shared" si="27"/>
        <v>290690.39999999991</v>
      </c>
      <c r="AM19" s="25"/>
    </row>
    <row r="20" spans="1:39" ht="15.6" x14ac:dyDescent="0.3">
      <c r="A20" s="33"/>
      <c r="B20" s="9" t="s">
        <v>30</v>
      </c>
      <c r="C20" s="14">
        <v>0</v>
      </c>
      <c r="D20" s="42">
        <f>C20/C14</f>
        <v>0</v>
      </c>
      <c r="E20" s="33" t="s">
        <v>31</v>
      </c>
      <c r="F20" s="33"/>
      <c r="G20" s="33"/>
      <c r="H20" s="33" t="s">
        <v>32</v>
      </c>
      <c r="I20" s="13">
        <f t="shared" ref="I20:AL20" si="28">I19*I4</f>
        <v>70492.422000000006</v>
      </c>
      <c r="J20" s="13">
        <f t="shared" si="28"/>
        <v>68142.674600000013</v>
      </c>
      <c r="K20" s="13">
        <f t="shared" si="28"/>
        <v>65792.927200000006</v>
      </c>
      <c r="L20" s="13">
        <f t="shared" si="28"/>
        <v>63443.179800000013</v>
      </c>
      <c r="M20" s="13">
        <f t="shared" si="28"/>
        <v>61093.43240000002</v>
      </c>
      <c r="N20" s="13">
        <f t="shared" si="28"/>
        <v>58743.685000000027</v>
      </c>
      <c r="O20" s="13">
        <f t="shared" si="28"/>
        <v>56393.937600000027</v>
      </c>
      <c r="P20" s="13">
        <f t="shared" si="28"/>
        <v>54044.190200000034</v>
      </c>
      <c r="Q20" s="13">
        <f t="shared" si="28"/>
        <v>51694.442800000041</v>
      </c>
      <c r="R20" s="13">
        <f t="shared" si="28"/>
        <v>49344.695400000033</v>
      </c>
      <c r="S20" s="13">
        <f t="shared" si="28"/>
        <v>46994.948000000033</v>
      </c>
      <c r="T20" s="13">
        <f t="shared" si="28"/>
        <v>44645.200600000033</v>
      </c>
      <c r="U20" s="13">
        <f t="shared" si="28"/>
        <v>42295.453200000033</v>
      </c>
      <c r="V20" s="13">
        <f t="shared" si="28"/>
        <v>39945.705800000032</v>
      </c>
      <c r="W20" s="13">
        <f t="shared" si="28"/>
        <v>37595.958400000032</v>
      </c>
      <c r="X20" s="13">
        <f>X19*X4</f>
        <v>35246.211000000032</v>
      </c>
      <c r="Y20" s="13">
        <f t="shared" si="28"/>
        <v>34071.337300000028</v>
      </c>
      <c r="Z20" s="13">
        <f t="shared" si="28"/>
        <v>32896.463600000025</v>
      </c>
      <c r="AA20" s="13">
        <f t="shared" si="28"/>
        <v>31721.589900000017</v>
      </c>
      <c r="AB20" s="13">
        <f t="shared" si="28"/>
        <v>30546.716200000017</v>
      </c>
      <c r="AC20" s="13">
        <f t="shared" si="28"/>
        <v>29371.842500000013</v>
      </c>
      <c r="AD20" s="13">
        <f t="shared" si="28"/>
        <v>28196.96880000001</v>
      </c>
      <c r="AE20" s="13">
        <f t="shared" si="28"/>
        <v>27022.095100000006</v>
      </c>
      <c r="AF20" s="13">
        <f t="shared" si="28"/>
        <v>25847.221400000002</v>
      </c>
      <c r="AG20" s="13">
        <f t="shared" si="28"/>
        <v>24672.347700000002</v>
      </c>
      <c r="AH20" s="13">
        <f t="shared" si="28"/>
        <v>23497.474000000002</v>
      </c>
      <c r="AI20" s="13">
        <f t="shared" si="28"/>
        <v>21147.726599999998</v>
      </c>
      <c r="AJ20" s="13">
        <f t="shared" si="28"/>
        <v>18797.979199999998</v>
      </c>
      <c r="AK20" s="13">
        <f t="shared" si="28"/>
        <v>16448.231799999998</v>
      </c>
      <c r="AL20" s="13">
        <f t="shared" si="28"/>
        <v>14098.484399999996</v>
      </c>
      <c r="AM20" s="25"/>
    </row>
    <row r="21" spans="1:39" ht="15.6" x14ac:dyDescent="0.3">
      <c r="A21" s="44"/>
      <c r="B21" s="9" t="s">
        <v>33</v>
      </c>
      <c r="C21" s="15">
        <v>0.03</v>
      </c>
      <c r="D21" s="41"/>
      <c r="E21" s="33"/>
      <c r="F21" s="33"/>
      <c r="G21" s="33"/>
      <c r="H21" s="33" t="s">
        <v>34</v>
      </c>
      <c r="I21" s="13">
        <f t="shared" ref="I21:W21" si="29">$C37*I5</f>
        <v>48448.4</v>
      </c>
      <c r="J21" s="13">
        <f t="shared" si="29"/>
        <v>48448.4</v>
      </c>
      <c r="K21" s="13">
        <f t="shared" si="29"/>
        <v>48448.4</v>
      </c>
      <c r="L21" s="13">
        <f t="shared" si="29"/>
        <v>48448.4</v>
      </c>
      <c r="M21" s="13">
        <f t="shared" si="29"/>
        <v>48448.4</v>
      </c>
      <c r="N21" s="13">
        <f t="shared" si="29"/>
        <v>48448.4</v>
      </c>
      <c r="O21" s="13">
        <f t="shared" si="29"/>
        <v>48448.4</v>
      </c>
      <c r="P21" s="13">
        <f t="shared" si="29"/>
        <v>48448.4</v>
      </c>
      <c r="Q21" s="13">
        <f t="shared" si="29"/>
        <v>48448.4</v>
      </c>
      <c r="R21" s="13">
        <f t="shared" si="29"/>
        <v>48448.4</v>
      </c>
      <c r="S21" s="13">
        <f t="shared" si="29"/>
        <v>48448.4</v>
      </c>
      <c r="T21" s="13">
        <f t="shared" si="29"/>
        <v>48448.4</v>
      </c>
      <c r="U21" s="13">
        <f t="shared" si="29"/>
        <v>48448.4</v>
      </c>
      <c r="V21" s="13">
        <f t="shared" si="29"/>
        <v>48448.4</v>
      </c>
      <c r="W21" s="13">
        <f t="shared" si="29"/>
        <v>48448.4</v>
      </c>
      <c r="X21" s="13">
        <f t="shared" ref="X21:AG21" si="30">$X19*X5</f>
        <v>24224.200000000019</v>
      </c>
      <c r="Y21" s="13">
        <f t="shared" si="30"/>
        <v>24224.200000000019</v>
      </c>
      <c r="Z21" s="13">
        <f t="shared" si="30"/>
        <v>24224.200000000019</v>
      </c>
      <c r="AA21" s="13">
        <f t="shared" si="30"/>
        <v>24224.200000000019</v>
      </c>
      <c r="AB21" s="13">
        <f t="shared" si="30"/>
        <v>24224.200000000019</v>
      </c>
      <c r="AC21" s="13">
        <f t="shared" si="30"/>
        <v>24224.200000000019</v>
      </c>
      <c r="AD21" s="13">
        <f t="shared" si="30"/>
        <v>24224.200000000019</v>
      </c>
      <c r="AE21" s="13">
        <f t="shared" si="30"/>
        <v>24224.200000000019</v>
      </c>
      <c r="AF21" s="13">
        <f t="shared" si="30"/>
        <v>24224.200000000019</v>
      </c>
      <c r="AG21" s="13">
        <f t="shared" si="30"/>
        <v>24224.200000000019</v>
      </c>
      <c r="AH21" s="13">
        <f t="shared" ref="AH21:AL21" si="31">$C37*AH5</f>
        <v>48448.4</v>
      </c>
      <c r="AI21" s="13">
        <f t="shared" si="31"/>
        <v>48448.4</v>
      </c>
      <c r="AJ21" s="13">
        <f t="shared" si="31"/>
        <v>48448.4</v>
      </c>
      <c r="AK21" s="13">
        <f t="shared" si="31"/>
        <v>48448.4</v>
      </c>
      <c r="AL21" s="13">
        <f t="shared" si="31"/>
        <v>48448.4</v>
      </c>
      <c r="AM21" s="25"/>
    </row>
    <row r="22" spans="1:39" ht="15.6" x14ac:dyDescent="0.3">
      <c r="A22" s="45"/>
      <c r="B22" s="9" t="s">
        <v>35</v>
      </c>
      <c r="C22" s="13">
        <f>C20*C21</f>
        <v>0</v>
      </c>
      <c r="D22" s="41"/>
      <c r="E22" s="33"/>
      <c r="F22" s="33"/>
      <c r="G22" s="33"/>
      <c r="H22" s="74" t="s">
        <v>36</v>
      </c>
      <c r="I22" s="75">
        <f t="shared" ref="I22:AL22" si="32">I17-I20-I21</f>
        <v>-18535.822000000007</v>
      </c>
      <c r="J22" s="75">
        <f t="shared" si="32"/>
        <v>-14241.962100000012</v>
      </c>
      <c r="K22" s="75">
        <f t="shared" si="32"/>
        <v>-9910.6596687500205</v>
      </c>
      <c r="L22" s="75">
        <f t="shared" si="32"/>
        <v>-5608.0975804687841</v>
      </c>
      <c r="M22" s="75">
        <f t="shared" si="32"/>
        <v>-1269.8241649805059</v>
      </c>
      <c r="N22" s="75">
        <f t="shared" si="32"/>
        <v>3104.7911800949878</v>
      </c>
      <c r="O22" s="75">
        <f t="shared" si="32"/>
        <v>7516.3895785813656</v>
      </c>
      <c r="P22" s="75">
        <f t="shared" si="32"/>
        <v>11965.622833909583</v>
      </c>
      <c r="Q22" s="75">
        <f t="shared" si="32"/>
        <v>16453.153589138266</v>
      </c>
      <c r="R22" s="75">
        <f t="shared" si="32"/>
        <v>20979.65548883532</v>
      </c>
      <c r="S22" s="75">
        <f t="shared" si="32"/>
        <v>25545.813342824149</v>
      </c>
      <c r="T22" s="75">
        <f t="shared" si="32"/>
        <v>30152.323291798057</v>
      </c>
      <c r="U22" s="75">
        <f t="shared" si="32"/>
        <v>34799.892974804396</v>
      </c>
      <c r="V22" s="75">
        <f t="shared" si="32"/>
        <v>39489.241698600112</v>
      </c>
      <c r="W22" s="75">
        <f t="shared" si="32"/>
        <v>44221.100608879198</v>
      </c>
      <c r="X22" s="75">
        <f t="shared" si="32"/>
        <v>73220.412863371574</v>
      </c>
      <c r="Y22" s="75">
        <f t="shared" si="32"/>
        <v>76864.660106811643</v>
      </c>
      <c r="Z22" s="75">
        <f t="shared" si="32"/>
        <v>80553.683747774921</v>
      </c>
      <c r="AA22" s="75">
        <f t="shared" si="32"/>
        <v>84288.264037378074</v>
      </c>
      <c r="AB22" s="75">
        <f t="shared" si="32"/>
        <v>88069.193949839449</v>
      </c>
      <c r="AC22" s="75">
        <f t="shared" si="32"/>
        <v>91897.279364892951</v>
      </c>
      <c r="AD22" s="75">
        <f t="shared" si="32"/>
        <v>95773.339252048958</v>
      </c>
      <c r="AE22" s="75">
        <f t="shared" si="32"/>
        <v>99698.205856694491</v>
      </c>
      <c r="AF22" s="75">
        <f t="shared" si="32"/>
        <v>103672.72488802305</v>
      </c>
      <c r="AG22" s="75">
        <f t="shared" si="32"/>
        <v>107697.75570878308</v>
      </c>
      <c r="AH22" s="75">
        <f t="shared" si="32"/>
        <v>87549.97152683328</v>
      </c>
      <c r="AI22" s="75">
        <f t="shared" si="32"/>
        <v>92853.533288491337</v>
      </c>
      <c r="AJ22" s="75">
        <f t="shared" si="32"/>
        <v>98210.268773660588</v>
      </c>
      <c r="AK22" s="75">
        <f t="shared" si="32"/>
        <v>103621.09389271823</v>
      </c>
      <c r="AL22" s="75">
        <f t="shared" si="32"/>
        <v>109086.93918514665</v>
      </c>
      <c r="AM22" s="25"/>
    </row>
    <row r="23" spans="1:39" ht="15.6" x14ac:dyDescent="0.3">
      <c r="A23" s="45"/>
      <c r="B23" s="9"/>
      <c r="C23" s="45"/>
      <c r="D23" s="41"/>
      <c r="E23" s="33"/>
      <c r="F23" s="33"/>
      <c r="G23" s="33"/>
      <c r="H23" s="3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25"/>
    </row>
    <row r="24" spans="1:39" ht="15.6" x14ac:dyDescent="0.3">
      <c r="A24" s="45"/>
      <c r="B24" s="9" t="s">
        <v>37</v>
      </c>
      <c r="C24" s="59" t="s">
        <v>38</v>
      </c>
      <c r="D24" s="41"/>
      <c r="E24" s="33"/>
      <c r="F24" s="33"/>
      <c r="G24" s="33"/>
      <c r="H24" s="43" t="str">
        <f>B38</f>
        <v>Leenfonds (Gemeente, VRO)</v>
      </c>
      <c r="I24" s="46">
        <f>Annuiteiten!F7</f>
        <v>500000</v>
      </c>
      <c r="J24" s="46">
        <f>Annuiteiten!G7</f>
        <v>488611.1796319118</v>
      </c>
      <c r="K24" s="46">
        <f>Annuiteiten!H7</f>
        <v>476937.63875462138</v>
      </c>
      <c r="L24" s="46">
        <f>Annuiteiten!I7</f>
        <v>464972.25935539871</v>
      </c>
      <c r="M24" s="46">
        <f>Annuiteiten!J7</f>
        <v>452707.74547119543</v>
      </c>
      <c r="N24" s="46">
        <f>Annuiteiten!K7</f>
        <v>440136.61873988708</v>
      </c>
      <c r="O24" s="46">
        <f>Annuiteiten!L7</f>
        <v>427251.21384029603</v>
      </c>
      <c r="P24" s="46">
        <f>Annuiteiten!M7</f>
        <v>414043.6738182152</v>
      </c>
      <c r="Q24" s="46">
        <f>Annuiteiten!N7</f>
        <v>400505.94529558235</v>
      </c>
      <c r="R24" s="46">
        <f>Annuiteiten!O7</f>
        <v>386629.7735598837</v>
      </c>
      <c r="S24" s="46">
        <f>Annuiteiten!P7</f>
        <v>372406.69753079256</v>
      </c>
      <c r="T24" s="46">
        <f>Annuiteiten!Q7</f>
        <v>357828.04460097413</v>
      </c>
      <c r="U24" s="46">
        <f>Annuiteiten!R7</f>
        <v>342884.92534791026</v>
      </c>
      <c r="V24" s="46">
        <f>Annuiteiten!S7</f>
        <v>327568.22811351978</v>
      </c>
      <c r="W24" s="46">
        <f>Annuiteiten!T7</f>
        <v>311868.61344826955</v>
      </c>
      <c r="X24" s="46">
        <f>Annuiteiten!U7</f>
        <v>295776.50841638807</v>
      </c>
      <c r="Y24" s="46">
        <f>Annuiteiten!V7</f>
        <v>279282.10075870954</v>
      </c>
      <c r="Z24" s="46">
        <f>Annuiteiten!W7</f>
        <v>262375.33290958905</v>
      </c>
      <c r="AA24" s="46">
        <f>Annuiteiten!X7</f>
        <v>245045.89586424053</v>
      </c>
      <c r="AB24" s="46">
        <f>Annuiteiten!Y7</f>
        <v>227283.22289275832</v>
      </c>
      <c r="AC24" s="46">
        <f>Annuiteiten!Z7</f>
        <v>209076.48309698905</v>
      </c>
      <c r="AD24" s="46">
        <f>Annuiteiten!AA7</f>
        <v>190414.57480632555</v>
      </c>
      <c r="AE24" s="46">
        <f>Annuiteiten!AB7</f>
        <v>171286.11880839546</v>
      </c>
      <c r="AF24" s="46">
        <f>Annuiteiten!AC7</f>
        <v>151679.45141051713</v>
      </c>
      <c r="AG24" s="46">
        <f>Annuiteiten!AD7</f>
        <v>131582.61732769181</v>
      </c>
      <c r="AH24" s="46">
        <f>Annuiteiten!AE7</f>
        <v>110983.36239279588</v>
      </c>
      <c r="AI24" s="46">
        <f>Annuiteiten!AF7</f>
        <v>89869.126084527554</v>
      </c>
      <c r="AJ24" s="46">
        <f>Annuiteiten!AG7</f>
        <v>68227.033868552506</v>
      </c>
      <c r="AK24" s="46">
        <f>Annuiteiten!AH7</f>
        <v>46043.88934717809</v>
      </c>
      <c r="AL24" s="46">
        <f>Annuiteiten!AI7</f>
        <v>23306.166212769313</v>
      </c>
      <c r="AM24" s="25"/>
    </row>
    <row r="25" spans="1:39" ht="15.6" x14ac:dyDescent="0.3">
      <c r="A25" s="33"/>
      <c r="B25" s="9" t="s">
        <v>83</v>
      </c>
      <c r="C25" s="60">
        <v>100000</v>
      </c>
      <c r="D25" s="41" t="s">
        <v>86</v>
      </c>
      <c r="E25" s="33"/>
      <c r="F25" s="33"/>
      <c r="G25" s="33"/>
      <c r="H25" s="33" t="s">
        <v>32</v>
      </c>
      <c r="I25" s="46">
        <f>Annuiteiten!F8</f>
        <v>12500</v>
      </c>
      <c r="J25" s="46">
        <f>Annuiteiten!G8</f>
        <v>12215.279490797795</v>
      </c>
      <c r="K25" s="46">
        <f>Annuiteiten!H8</f>
        <v>11923.440968865536</v>
      </c>
      <c r="L25" s="46">
        <f>Annuiteiten!I8</f>
        <v>11624.306483884968</v>
      </c>
      <c r="M25" s="46">
        <f>Annuiteiten!J8</f>
        <v>11317.693636779886</v>
      </c>
      <c r="N25" s="46">
        <f>Annuiteiten!K8</f>
        <v>11003.415468497178</v>
      </c>
      <c r="O25" s="46">
        <f>Annuiteiten!L8</f>
        <v>10681.280346007401</v>
      </c>
      <c r="P25" s="46">
        <f>Annuiteiten!M8</f>
        <v>10351.091845455381</v>
      </c>
      <c r="Q25" s="46">
        <f>Annuiteiten!N8</f>
        <v>10012.648632389559</v>
      </c>
      <c r="R25" s="46">
        <f>Annuiteiten!O8</f>
        <v>9665.7443389970922</v>
      </c>
      <c r="S25" s="46">
        <f>Annuiteiten!P8</f>
        <v>9310.1674382698147</v>
      </c>
      <c r="T25" s="46">
        <f>Annuiteiten!Q8</f>
        <v>8945.7011150243543</v>
      </c>
      <c r="U25" s="46">
        <f>Annuiteiten!R8</f>
        <v>8572.1231336977562</v>
      </c>
      <c r="V25" s="46">
        <f>Annuiteiten!S8</f>
        <v>8189.205702837995</v>
      </c>
      <c r="W25" s="46">
        <f>Annuiteiten!T8</f>
        <v>7796.7153362067393</v>
      </c>
      <c r="X25" s="46">
        <f>Annuiteiten!U8</f>
        <v>7394.4127104097024</v>
      </c>
      <c r="Y25" s="46">
        <f>Annuiteiten!V8</f>
        <v>6982.0525189677392</v>
      </c>
      <c r="Z25" s="46">
        <f>Annuiteiten!W8</f>
        <v>6559.3833227397263</v>
      </c>
      <c r="AA25" s="46">
        <f>Annuiteiten!X8</f>
        <v>6126.1473966060139</v>
      </c>
      <c r="AB25" s="46">
        <f>Annuiteiten!Y8</f>
        <v>5682.0805723189587</v>
      </c>
      <c r="AC25" s="46">
        <f>Annuiteiten!Z8</f>
        <v>5226.9120774247267</v>
      </c>
      <c r="AD25" s="46">
        <f>Annuiteiten!AA8</f>
        <v>4760.3643701581386</v>
      </c>
      <c r="AE25" s="46">
        <f>Annuiteiten!AB8</f>
        <v>4282.1529702098869</v>
      </c>
      <c r="AF25" s="46">
        <f>Annuiteiten!AC8</f>
        <v>3791.9862852629285</v>
      </c>
      <c r="AG25" s="46">
        <f>Annuiteiten!AD8</f>
        <v>3289.5654331922956</v>
      </c>
      <c r="AH25" s="46">
        <f>Annuiteiten!AE8</f>
        <v>2774.5840598198974</v>
      </c>
      <c r="AI25" s="46">
        <f>Annuiteiten!AF8</f>
        <v>2246.728152113189</v>
      </c>
      <c r="AJ25" s="46">
        <f>Annuiteiten!AG8</f>
        <v>1705.6758467138127</v>
      </c>
      <c r="AK25" s="46">
        <f>Annuiteiten!AH8</f>
        <v>1151.0972336794523</v>
      </c>
      <c r="AL25" s="46">
        <f>Annuiteiten!AI8</f>
        <v>582.65415531923281</v>
      </c>
      <c r="AM25" s="25"/>
    </row>
    <row r="26" spans="1:39" ht="15.6" x14ac:dyDescent="0.3">
      <c r="A26" s="45"/>
      <c r="B26" s="9" t="s">
        <v>39</v>
      </c>
      <c r="C26" s="58">
        <f>C25/E26</f>
        <v>2000000</v>
      </c>
      <c r="D26" s="47" t="s">
        <v>40</v>
      </c>
      <c r="E26" s="55">
        <v>0.05</v>
      </c>
      <c r="G26" s="33"/>
      <c r="H26" s="33" t="s">
        <v>34</v>
      </c>
      <c r="I26" s="46">
        <f>Annuiteiten!F9</f>
        <v>11388.820368088229</v>
      </c>
      <c r="J26" s="46">
        <f>Annuiteiten!G9</f>
        <v>11673.540877290434</v>
      </c>
      <c r="K26" s="46">
        <f>Annuiteiten!H9</f>
        <v>11965.379399222693</v>
      </c>
      <c r="L26" s="46">
        <f>Annuiteiten!I9</f>
        <v>12264.513884203261</v>
      </c>
      <c r="M26" s="46">
        <f>Annuiteiten!J9</f>
        <v>12571.126731308343</v>
      </c>
      <c r="N26" s="46">
        <f>Annuiteiten!K9</f>
        <v>12885.404899591051</v>
      </c>
      <c r="O26" s="46">
        <f>Annuiteiten!L9</f>
        <v>13207.540022080828</v>
      </c>
      <c r="P26" s="46">
        <f>Annuiteiten!M9</f>
        <v>13537.728522632848</v>
      </c>
      <c r="Q26" s="46">
        <f>Annuiteiten!N9</f>
        <v>13876.17173569867</v>
      </c>
      <c r="R26" s="46">
        <f>Annuiteiten!O9</f>
        <v>14223.076029091137</v>
      </c>
      <c r="S26" s="46">
        <f>Annuiteiten!P9</f>
        <v>14578.652929818414</v>
      </c>
      <c r="T26" s="46">
        <f>Annuiteiten!Q9</f>
        <v>14943.119253063875</v>
      </c>
      <c r="U26" s="46">
        <f>Annuiteiten!R9</f>
        <v>15316.697234390473</v>
      </c>
      <c r="V26" s="46">
        <f>Annuiteiten!S9</f>
        <v>15699.614665250234</v>
      </c>
      <c r="W26" s="46">
        <f>Annuiteiten!T9</f>
        <v>16092.105031881489</v>
      </c>
      <c r="X26" s="46">
        <f>Annuiteiten!U9</f>
        <v>16494.407657678526</v>
      </c>
      <c r="Y26" s="46">
        <f>Annuiteiten!V9</f>
        <v>16906.76784912049</v>
      </c>
      <c r="Z26" s="46">
        <f>Annuiteiten!W9</f>
        <v>17329.437045348503</v>
      </c>
      <c r="AA26" s="46">
        <f>Annuiteiten!X9</f>
        <v>17762.672971482214</v>
      </c>
      <c r="AB26" s="46">
        <f>Annuiteiten!Y9</f>
        <v>18206.73979576927</v>
      </c>
      <c r="AC26" s="46">
        <f>Annuiteiten!Z9</f>
        <v>18661.908290663501</v>
      </c>
      <c r="AD26" s="46">
        <f>Annuiteiten!AA9</f>
        <v>19128.45599793009</v>
      </c>
      <c r="AE26" s="46">
        <f>Annuiteiten!AB9</f>
        <v>19606.667397878344</v>
      </c>
      <c r="AF26" s="46">
        <f>Annuiteiten!AC9</f>
        <v>20096.834082825299</v>
      </c>
      <c r="AG26" s="46">
        <f>Annuiteiten!AD9</f>
        <v>20599.254934895933</v>
      </c>
      <c r="AH26" s="46">
        <f>Annuiteiten!AE9</f>
        <v>21114.23630826833</v>
      </c>
      <c r="AI26" s="46">
        <f>Annuiteiten!AF9</f>
        <v>21642.092215975041</v>
      </c>
      <c r="AJ26" s="46">
        <f>Annuiteiten!AG9</f>
        <v>22183.144521374415</v>
      </c>
      <c r="AK26" s="46">
        <f>Annuiteiten!AH9</f>
        <v>22737.723134408778</v>
      </c>
      <c r="AL26" s="46">
        <f>Annuiteiten!AI9</f>
        <v>23306.166212768996</v>
      </c>
      <c r="AM26" s="25"/>
    </row>
    <row r="27" spans="1:39" ht="15.6" x14ac:dyDescent="0.3">
      <c r="A27" s="45"/>
      <c r="B27" s="9" t="s">
        <v>41</v>
      </c>
      <c r="C27" s="60"/>
      <c r="D27" s="56" t="s">
        <v>42</v>
      </c>
      <c r="E27" s="57"/>
      <c r="F27" s="57"/>
      <c r="G27" s="33"/>
      <c r="H27" s="33"/>
      <c r="I27" s="1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25"/>
    </row>
    <row r="28" spans="1:39" ht="15.6" x14ac:dyDescent="0.3">
      <c r="A28" s="33"/>
      <c r="B28" s="9"/>
      <c r="C28" s="13"/>
      <c r="D28" s="47"/>
      <c r="E28" s="34"/>
      <c r="F28" s="34"/>
      <c r="G28" s="33"/>
      <c r="H28" s="43" t="str">
        <f>B39</f>
        <v>Solidariteitsfonds</v>
      </c>
      <c r="I28" s="48">
        <f>Annuiteiten!F11</f>
        <v>0</v>
      </c>
      <c r="J28" s="48">
        <f>Annuiteiten!G11</f>
        <v>0</v>
      </c>
      <c r="K28" s="48">
        <f>Annuiteiten!H11</f>
        <v>0</v>
      </c>
      <c r="L28" s="48">
        <f>Annuiteiten!I11</f>
        <v>0</v>
      </c>
      <c r="M28" s="48">
        <f>Annuiteiten!J11</f>
        <v>0</v>
      </c>
      <c r="N28" s="48">
        <f>Annuiteiten!K11</f>
        <v>0</v>
      </c>
      <c r="O28" s="48">
        <f>Annuiteiten!L11</f>
        <v>0</v>
      </c>
      <c r="P28" s="48">
        <f>Annuiteiten!M11</f>
        <v>0</v>
      </c>
      <c r="Q28" s="48">
        <f>Annuiteiten!N11</f>
        <v>0</v>
      </c>
      <c r="R28" s="48">
        <f>Annuiteiten!O11</f>
        <v>0</v>
      </c>
      <c r="S28" s="48">
        <f>Annuiteiten!P11</f>
        <v>0</v>
      </c>
      <c r="T28" s="48">
        <f>Annuiteiten!Q11</f>
        <v>0</v>
      </c>
      <c r="U28" s="48">
        <f>Annuiteiten!R11</f>
        <v>0</v>
      </c>
      <c r="V28" s="48">
        <f>Annuiteiten!S11</f>
        <v>0</v>
      </c>
      <c r="W28" s="48">
        <f>Annuiteiten!T11</f>
        <v>0</v>
      </c>
      <c r="X28" s="48">
        <f>Annuiteiten!U11</f>
        <v>0</v>
      </c>
      <c r="Y28" s="48">
        <f>Annuiteiten!V11</f>
        <v>0</v>
      </c>
      <c r="Z28" s="48">
        <f>Annuiteiten!W11</f>
        <v>0</v>
      </c>
      <c r="AA28" s="48">
        <f>Annuiteiten!X11</f>
        <v>0</v>
      </c>
      <c r="AB28" s="48">
        <f>Annuiteiten!Y11</f>
        <v>0</v>
      </c>
      <c r="AC28" s="48">
        <f>Annuiteiten!Z11</f>
        <v>0</v>
      </c>
      <c r="AD28" s="48">
        <f>Annuiteiten!AA11</f>
        <v>0</v>
      </c>
      <c r="AE28" s="48">
        <f>Annuiteiten!AB11</f>
        <v>0</v>
      </c>
      <c r="AF28" s="48">
        <f>Annuiteiten!AC11</f>
        <v>0</v>
      </c>
      <c r="AG28" s="48">
        <f>Annuiteiten!AD11</f>
        <v>0</v>
      </c>
      <c r="AH28" s="48">
        <f>Annuiteiten!AE11</f>
        <v>0</v>
      </c>
      <c r="AI28" s="48">
        <f>Annuiteiten!AF11</f>
        <v>0</v>
      </c>
      <c r="AJ28" s="48">
        <f>Annuiteiten!AG11</f>
        <v>0</v>
      </c>
      <c r="AK28" s="48">
        <f>Annuiteiten!AH11</f>
        <v>0</v>
      </c>
      <c r="AL28" s="48">
        <f>Annuiteiten!AI11</f>
        <v>0</v>
      </c>
      <c r="AM28" s="25"/>
    </row>
    <row r="29" spans="1:39" ht="15.6" x14ac:dyDescent="0.3">
      <c r="A29" s="33"/>
      <c r="B29" s="9" t="s">
        <v>43</v>
      </c>
      <c r="C29" s="58">
        <f>C14*C13</f>
        <v>144000</v>
      </c>
      <c r="D29" s="41" t="s">
        <v>85</v>
      </c>
      <c r="E29" s="14">
        <v>250</v>
      </c>
      <c r="F29" s="33" t="s">
        <v>87</v>
      </c>
      <c r="G29" s="33"/>
      <c r="H29" s="33" t="s">
        <v>32</v>
      </c>
      <c r="I29" s="48">
        <f>Annuiteiten!F12</f>
        <v>0</v>
      </c>
      <c r="J29" s="48">
        <f>Annuiteiten!G12</f>
        <v>0</v>
      </c>
      <c r="K29" s="48">
        <f>Annuiteiten!H12</f>
        <v>0</v>
      </c>
      <c r="L29" s="48">
        <f>Annuiteiten!I12</f>
        <v>0</v>
      </c>
      <c r="M29" s="48">
        <f>Annuiteiten!J12</f>
        <v>0</v>
      </c>
      <c r="N29" s="48">
        <f>Annuiteiten!K12</f>
        <v>0</v>
      </c>
      <c r="O29" s="48">
        <f>Annuiteiten!L12</f>
        <v>0</v>
      </c>
      <c r="P29" s="48">
        <f>Annuiteiten!M12</f>
        <v>0</v>
      </c>
      <c r="Q29" s="48">
        <f>Annuiteiten!N12</f>
        <v>0</v>
      </c>
      <c r="R29" s="48">
        <f>Annuiteiten!O12</f>
        <v>0</v>
      </c>
      <c r="S29" s="48">
        <f>Annuiteiten!P12</f>
        <v>0</v>
      </c>
      <c r="T29" s="48">
        <f>Annuiteiten!Q12</f>
        <v>0</v>
      </c>
      <c r="U29" s="48">
        <f>Annuiteiten!R12</f>
        <v>0</v>
      </c>
      <c r="V29" s="48">
        <f>Annuiteiten!S12</f>
        <v>0</v>
      </c>
      <c r="W29" s="48">
        <f>Annuiteiten!T12</f>
        <v>0</v>
      </c>
      <c r="X29" s="48">
        <f>Annuiteiten!U12</f>
        <v>0</v>
      </c>
      <c r="Y29" s="48">
        <f>Annuiteiten!V12</f>
        <v>0</v>
      </c>
      <c r="Z29" s="48">
        <f>Annuiteiten!W12</f>
        <v>0</v>
      </c>
      <c r="AA29" s="48">
        <f>Annuiteiten!X12</f>
        <v>0</v>
      </c>
      <c r="AB29" s="48">
        <f>Annuiteiten!Y12</f>
        <v>0</v>
      </c>
      <c r="AC29" s="48">
        <f>Annuiteiten!Z12</f>
        <v>0</v>
      </c>
      <c r="AD29" s="48">
        <f>Annuiteiten!AA12</f>
        <v>0</v>
      </c>
      <c r="AE29" s="48">
        <f>Annuiteiten!AB12</f>
        <v>0</v>
      </c>
      <c r="AF29" s="48">
        <f>Annuiteiten!AC12</f>
        <v>0</v>
      </c>
      <c r="AG29" s="48">
        <f>Annuiteiten!AD12</f>
        <v>0</v>
      </c>
      <c r="AH29" s="48">
        <f>Annuiteiten!AE12</f>
        <v>0</v>
      </c>
      <c r="AI29" s="48">
        <f>Annuiteiten!AF12</f>
        <v>0</v>
      </c>
      <c r="AJ29" s="48">
        <f>Annuiteiten!AG12</f>
        <v>0</v>
      </c>
      <c r="AK29" s="48">
        <f>Annuiteiten!AH12</f>
        <v>0</v>
      </c>
      <c r="AL29" s="48">
        <f>Annuiteiten!AI12</f>
        <v>0</v>
      </c>
      <c r="AM29" s="25"/>
    </row>
    <row r="30" spans="1:39" ht="15.6" x14ac:dyDescent="0.3">
      <c r="A30" s="33"/>
      <c r="B30" s="9" t="s">
        <v>44</v>
      </c>
      <c r="C30" s="58">
        <f>E30*C13</f>
        <v>1200000</v>
      </c>
      <c r="D30" s="41" t="s">
        <v>45</v>
      </c>
      <c r="E30" s="14">
        <v>2500</v>
      </c>
      <c r="F30" s="33" t="s">
        <v>81</v>
      </c>
      <c r="G30" s="33"/>
      <c r="H30" s="33" t="s">
        <v>34</v>
      </c>
      <c r="I30" s="48">
        <f>Annuiteiten!F13</f>
        <v>0</v>
      </c>
      <c r="J30" s="48">
        <f>Annuiteiten!G13</f>
        <v>0</v>
      </c>
      <c r="K30" s="48">
        <f>Annuiteiten!H13</f>
        <v>0</v>
      </c>
      <c r="L30" s="48">
        <f>Annuiteiten!I13</f>
        <v>0</v>
      </c>
      <c r="M30" s="48">
        <f>Annuiteiten!J13</f>
        <v>0</v>
      </c>
      <c r="N30" s="48">
        <f>Annuiteiten!K13</f>
        <v>0</v>
      </c>
      <c r="O30" s="48">
        <f>Annuiteiten!L13</f>
        <v>0</v>
      </c>
      <c r="P30" s="48">
        <f>Annuiteiten!M13</f>
        <v>0</v>
      </c>
      <c r="Q30" s="48">
        <f>Annuiteiten!N13</f>
        <v>0</v>
      </c>
      <c r="R30" s="48">
        <f>Annuiteiten!O13</f>
        <v>0</v>
      </c>
      <c r="S30" s="48">
        <f>Annuiteiten!P13</f>
        <v>0</v>
      </c>
      <c r="T30" s="48">
        <f>Annuiteiten!Q13</f>
        <v>0</v>
      </c>
      <c r="U30" s="48">
        <f>Annuiteiten!R13</f>
        <v>0</v>
      </c>
      <c r="V30" s="48">
        <f>Annuiteiten!S13</f>
        <v>0</v>
      </c>
      <c r="W30" s="48">
        <f>Annuiteiten!T13</f>
        <v>0</v>
      </c>
      <c r="X30" s="48">
        <f>Annuiteiten!U13</f>
        <v>0</v>
      </c>
      <c r="Y30" s="48">
        <f>Annuiteiten!V13</f>
        <v>0</v>
      </c>
      <c r="Z30" s="48">
        <f>Annuiteiten!W13</f>
        <v>0</v>
      </c>
      <c r="AA30" s="48">
        <f>Annuiteiten!X13</f>
        <v>0</v>
      </c>
      <c r="AB30" s="48">
        <f>Annuiteiten!Y13</f>
        <v>0</v>
      </c>
      <c r="AC30" s="48">
        <f>Annuiteiten!Z13</f>
        <v>0</v>
      </c>
      <c r="AD30" s="48">
        <f>Annuiteiten!AA13</f>
        <v>0</v>
      </c>
      <c r="AE30" s="48">
        <f>Annuiteiten!AB13</f>
        <v>0</v>
      </c>
      <c r="AF30" s="48">
        <f>Annuiteiten!AC13</f>
        <v>0</v>
      </c>
      <c r="AG30" s="48">
        <f>Annuiteiten!AD13</f>
        <v>0</v>
      </c>
      <c r="AH30" s="48">
        <f>Annuiteiten!AE13</f>
        <v>0</v>
      </c>
      <c r="AI30" s="48">
        <f>Annuiteiten!AF13</f>
        <v>0</v>
      </c>
      <c r="AJ30" s="48">
        <f>Annuiteiten!AG13</f>
        <v>0</v>
      </c>
      <c r="AK30" s="48">
        <f>Annuiteiten!AH13</f>
        <v>0</v>
      </c>
      <c r="AL30" s="48">
        <f>Annuiteiten!AI13</f>
        <v>0</v>
      </c>
      <c r="AM30" s="25"/>
    </row>
    <row r="31" spans="1:39" ht="15.6" x14ac:dyDescent="0.3">
      <c r="A31" s="33"/>
      <c r="B31" s="9" t="s">
        <v>46</v>
      </c>
      <c r="C31" s="58">
        <f>C30*E31</f>
        <v>216000</v>
      </c>
      <c r="D31" s="41" t="s">
        <v>45</v>
      </c>
      <c r="E31" s="61">
        <v>0.18</v>
      </c>
      <c r="F31" s="33"/>
      <c r="G31" s="33"/>
      <c r="H31" s="3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25"/>
    </row>
    <row r="32" spans="1:39" ht="15.6" x14ac:dyDescent="0.3">
      <c r="A32" s="33"/>
      <c r="B32" s="9" t="s">
        <v>47</v>
      </c>
      <c r="C32" s="58">
        <f>SUM(C29:C31)*E32</f>
        <v>327600</v>
      </c>
      <c r="D32" s="41" t="s">
        <v>45</v>
      </c>
      <c r="E32" s="61">
        <v>0.21</v>
      </c>
      <c r="F32" s="33" t="s">
        <v>47</v>
      </c>
      <c r="G32" s="33"/>
      <c r="H32" s="43" t="str">
        <f>B40</f>
        <v>Inleg leden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25"/>
    </row>
    <row r="33" spans="1:39" ht="15.6" x14ac:dyDescent="0.3">
      <c r="A33" s="33"/>
      <c r="B33" s="9" t="s">
        <v>48</v>
      </c>
      <c r="C33" s="58">
        <f>SUM(C29:C32)*E33</f>
        <v>188760</v>
      </c>
      <c r="D33" s="41" t="s">
        <v>84</v>
      </c>
      <c r="E33" s="61">
        <v>0.1</v>
      </c>
      <c r="F33" s="33"/>
      <c r="G33" s="33"/>
      <c r="H33" s="33" t="s">
        <v>32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25"/>
    </row>
    <row r="34" spans="1:39" ht="15.6" x14ac:dyDescent="0.3">
      <c r="A34" s="33"/>
      <c r="B34" s="9" t="s">
        <v>49</v>
      </c>
      <c r="C34" s="62">
        <f>SUM(C29:C33)</f>
        <v>2076360</v>
      </c>
      <c r="D34" s="13">
        <f>C34/C4</f>
        <v>98874.28571428571</v>
      </c>
      <c r="E34" s="13">
        <f>D34/C15</f>
        <v>6179.6428571428569</v>
      </c>
      <c r="F34" s="33" t="s">
        <v>88</v>
      </c>
      <c r="G34" s="33"/>
      <c r="H34" s="33" t="s">
        <v>34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25"/>
    </row>
    <row r="35" spans="1:39" ht="15.6" x14ac:dyDescent="0.3">
      <c r="A35" s="33"/>
      <c r="B35" s="9"/>
      <c r="C35" s="33"/>
      <c r="D35" s="36"/>
      <c r="E35" s="33"/>
      <c r="F35" s="33"/>
      <c r="G35" s="33"/>
      <c r="H35" s="33"/>
      <c r="I35" s="1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25"/>
    </row>
    <row r="36" spans="1:39" ht="15.6" x14ac:dyDescent="0.3">
      <c r="A36" s="33"/>
      <c r="B36" s="9"/>
      <c r="C36" s="33" t="s">
        <v>50</v>
      </c>
      <c r="D36" s="41" t="s">
        <v>51</v>
      </c>
      <c r="E36" s="41" t="s">
        <v>32</v>
      </c>
      <c r="F36" s="41" t="s">
        <v>34</v>
      </c>
      <c r="G36" s="33"/>
      <c r="H36" s="43" t="str">
        <f>B41</f>
        <v>Crowdfunding/obligaties</v>
      </c>
      <c r="I36" s="48">
        <f>Annuiteiten!F19</f>
        <v>200000</v>
      </c>
      <c r="J36" s="48">
        <f>Annuiteiten!G19</f>
        <v>195070.01554131942</v>
      </c>
      <c r="K36" s="48">
        <f>Annuiteiten!H19</f>
        <v>190041.4313934652</v>
      </c>
      <c r="L36" s="48">
        <f>Annuiteiten!I19</f>
        <v>184912.2755626539</v>
      </c>
      <c r="M36" s="48">
        <f>Annuiteiten!J19</f>
        <v>179680.53661522639</v>
      </c>
      <c r="N36" s="48">
        <f>Annuiteiten!K19</f>
        <v>174344.16288885032</v>
      </c>
      <c r="O36" s="48">
        <f>Annuiteiten!L19</f>
        <v>168901.06168794673</v>
      </c>
      <c r="P36" s="48">
        <f>Annuiteiten!M19</f>
        <v>163349.09846302506</v>
      </c>
      <c r="Q36" s="48">
        <f>Annuiteiten!N19</f>
        <v>157686.09597360497</v>
      </c>
      <c r="R36" s="48">
        <f>Annuiteiten!O19</f>
        <v>151909.83343439648</v>
      </c>
      <c r="S36" s="48">
        <f>Annuiteiten!P19</f>
        <v>146018.04564440381</v>
      </c>
      <c r="T36" s="48">
        <f>Annuiteiten!Q19</f>
        <v>140008.42209861131</v>
      </c>
      <c r="U36" s="48">
        <f>Annuiteiten!R19</f>
        <v>133878.60608190295</v>
      </c>
      <c r="V36" s="48">
        <f>Annuiteiten!S19</f>
        <v>127626.19374486041</v>
      </c>
      <c r="W36" s="48">
        <f>Annuiteiten!T19</f>
        <v>121248.73316107703</v>
      </c>
      <c r="X36" s="48">
        <f>Annuiteiten!U19</f>
        <v>114743.72336561799</v>
      </c>
      <c r="Y36" s="48">
        <f>Annuiteiten!V19</f>
        <v>108108.61337424976</v>
      </c>
      <c r="Z36" s="48">
        <f>Annuiteiten!W19</f>
        <v>101340.80118305417</v>
      </c>
      <c r="AA36" s="48">
        <f>Annuiteiten!X19</f>
        <v>94437.632748034652</v>
      </c>
      <c r="AB36" s="48">
        <f>Annuiteiten!Y19</f>
        <v>87396.400944314752</v>
      </c>
      <c r="AC36" s="48">
        <f>Annuiteiten!Z19</f>
        <v>80214.344504520457</v>
      </c>
      <c r="AD36" s="48">
        <f>Annuiteiten!AA19</f>
        <v>72888.646935930272</v>
      </c>
      <c r="AE36" s="48">
        <f>Annuiteiten!AB19</f>
        <v>65416.435415968284</v>
      </c>
      <c r="AF36" s="48">
        <f>Annuiteiten!AC19</f>
        <v>57794.779665607057</v>
      </c>
      <c r="AG36" s="48">
        <f>Annuiteiten!AD19</f>
        <v>50020.690800238604</v>
      </c>
      <c r="AH36" s="48">
        <f>Annuiteiten!AE19</f>
        <v>42091.120157562786</v>
      </c>
      <c r="AI36" s="48">
        <f>Annuiteiten!AF19</f>
        <v>34002.958102033452</v>
      </c>
      <c r="AJ36" s="48">
        <f>Annuiteiten!AG19</f>
        <v>25753.03280539353</v>
      </c>
      <c r="AK36" s="48">
        <f>Annuiteiten!AH19</f>
        <v>17338.109002820809</v>
      </c>
      <c r="AL36" s="48">
        <f>Annuiteiten!AI19</f>
        <v>8754.8867241966327</v>
      </c>
      <c r="AM36" s="25"/>
    </row>
    <row r="37" spans="1:39" ht="15.6" x14ac:dyDescent="0.3">
      <c r="A37" s="33"/>
      <c r="B37" s="9" t="s">
        <v>94</v>
      </c>
      <c r="C37" s="62">
        <f>C34*D37</f>
        <v>1453452</v>
      </c>
      <c r="D37" s="63">
        <v>0.7</v>
      </c>
      <c r="E37" s="64">
        <v>4.8500000000000001E-2</v>
      </c>
      <c r="F37" s="64">
        <f>1/30</f>
        <v>3.3333333333333333E-2</v>
      </c>
      <c r="G37" s="33"/>
      <c r="H37" s="33" t="s">
        <v>52</v>
      </c>
      <c r="I37" s="48">
        <f>Annuiteiten!F20</f>
        <v>4000</v>
      </c>
      <c r="J37" s="48">
        <f>Annuiteiten!G20</f>
        <v>3901.4003108263882</v>
      </c>
      <c r="K37" s="48">
        <f>Annuiteiten!H20</f>
        <v>3800.828627869304</v>
      </c>
      <c r="L37" s="48">
        <f>Annuiteiten!I20</f>
        <v>3698.2455112530779</v>
      </c>
      <c r="M37" s="48">
        <f>Annuiteiten!J20</f>
        <v>3593.610732304528</v>
      </c>
      <c r="N37" s="48">
        <f>Annuiteiten!K20</f>
        <v>3486.8832577770063</v>
      </c>
      <c r="O37" s="48">
        <f>Annuiteiten!L20</f>
        <v>3378.0212337589346</v>
      </c>
      <c r="P37" s="48">
        <f>Annuiteiten!M20</f>
        <v>3266.9819692605015</v>
      </c>
      <c r="Q37" s="48">
        <f>Annuiteiten!N20</f>
        <v>3153.7219194720997</v>
      </c>
      <c r="R37" s="48">
        <f>Annuiteiten!O20</f>
        <v>3038.1966686879296</v>
      </c>
      <c r="S37" s="48">
        <f>Annuiteiten!P20</f>
        <v>2920.3609128880762</v>
      </c>
      <c r="T37" s="48">
        <f>Annuiteiten!Q20</f>
        <v>2800.168441972226</v>
      </c>
      <c r="U37" s="48">
        <f>Annuiteiten!R20</f>
        <v>2677.5721216380589</v>
      </c>
      <c r="V37" s="48">
        <f>Annuiteiten!S20</f>
        <v>2552.5238748972083</v>
      </c>
      <c r="W37" s="48">
        <f>Annuiteiten!T20</f>
        <v>2424.9746632215406</v>
      </c>
      <c r="X37" s="48">
        <f>Annuiteiten!U20</f>
        <v>2294.8744673123597</v>
      </c>
      <c r="Y37" s="48">
        <f>Annuiteiten!V20</f>
        <v>2162.1722674849952</v>
      </c>
      <c r="Z37" s="48">
        <f>Annuiteiten!W20</f>
        <v>2026.8160236610834</v>
      </c>
      <c r="AA37" s="48">
        <f>Annuiteiten!X20</f>
        <v>1888.752654960693</v>
      </c>
      <c r="AB37" s="48">
        <f>Annuiteiten!Y20</f>
        <v>1747.9280188862951</v>
      </c>
      <c r="AC37" s="48">
        <f>Annuiteiten!Z20</f>
        <v>1604.2868900904091</v>
      </c>
      <c r="AD37" s="48">
        <f>Annuiteiten!AA20</f>
        <v>1457.7729387186055</v>
      </c>
      <c r="AE37" s="48">
        <f>Annuiteiten!AB20</f>
        <v>1308.3287083193657</v>
      </c>
      <c r="AF37" s="48">
        <f>Annuiteiten!AC20</f>
        <v>1155.8955933121413</v>
      </c>
      <c r="AG37" s="48">
        <f>Annuiteiten!AD20</f>
        <v>1000.4138160047721</v>
      </c>
      <c r="AH37" s="48">
        <f>Annuiteiten!AE20</f>
        <v>841.82240315125568</v>
      </c>
      <c r="AI37" s="48">
        <f>Annuiteiten!AF20</f>
        <v>680.05916204066909</v>
      </c>
      <c r="AJ37" s="48">
        <f>Annuiteiten!AG20</f>
        <v>515.06065610787061</v>
      </c>
      <c r="AK37" s="48">
        <f>Annuiteiten!AH20</f>
        <v>346.76218005641618</v>
      </c>
      <c r="AL37" s="48">
        <f>Annuiteiten!AI20</f>
        <v>175.09773448393267</v>
      </c>
      <c r="AM37" s="25"/>
    </row>
    <row r="38" spans="1:39" ht="15.6" x14ac:dyDescent="0.3">
      <c r="A38" s="33"/>
      <c r="B38" s="9" t="s">
        <v>90</v>
      </c>
      <c r="C38" s="65">
        <v>500000</v>
      </c>
      <c r="D38" s="49">
        <f t="shared" ref="D38:D43" si="33">C38/C$34</f>
        <v>0.24080602592999287</v>
      </c>
      <c r="E38" s="64">
        <v>2.5000000000000001E-2</v>
      </c>
      <c r="F38" s="36" t="s">
        <v>89</v>
      </c>
      <c r="G38" s="33"/>
      <c r="H38" s="33" t="s">
        <v>34</v>
      </c>
      <c r="I38" s="48">
        <f>Annuiteiten!F21</f>
        <v>4929.9844586805921</v>
      </c>
      <c r="J38" s="48">
        <f>Annuiteiten!G21</f>
        <v>5028.5841478542043</v>
      </c>
      <c r="K38" s="48">
        <f>Annuiteiten!H21</f>
        <v>5129.1558308112881</v>
      </c>
      <c r="L38" s="48">
        <f>Annuiteiten!I21</f>
        <v>5231.7389474275142</v>
      </c>
      <c r="M38" s="48">
        <f>Annuiteiten!J21</f>
        <v>5336.373726376064</v>
      </c>
      <c r="N38" s="48">
        <f>Annuiteiten!K21</f>
        <v>5443.1012009035858</v>
      </c>
      <c r="O38" s="48">
        <f>Annuiteiten!L21</f>
        <v>5551.9632249216575</v>
      </c>
      <c r="P38" s="48">
        <f>Annuiteiten!M21</f>
        <v>5663.0024894200906</v>
      </c>
      <c r="Q38" s="48">
        <f>Annuiteiten!N21</f>
        <v>5776.2625392084919</v>
      </c>
      <c r="R38" s="48">
        <f>Annuiteiten!O21</f>
        <v>5891.7877899926625</v>
      </c>
      <c r="S38" s="48">
        <f>Annuiteiten!P21</f>
        <v>6009.6235457925159</v>
      </c>
      <c r="T38" s="48">
        <f>Annuiteiten!Q21</f>
        <v>6129.8160167083661</v>
      </c>
      <c r="U38" s="48">
        <f>Annuiteiten!R21</f>
        <v>6252.4123370425332</v>
      </c>
      <c r="V38" s="48">
        <f>Annuiteiten!S21</f>
        <v>6377.4605837833842</v>
      </c>
      <c r="W38" s="48">
        <f>Annuiteiten!T21</f>
        <v>6505.009795459051</v>
      </c>
      <c r="X38" s="48">
        <f>Annuiteiten!U21</f>
        <v>6635.1099913682319</v>
      </c>
      <c r="Y38" s="48">
        <f>Annuiteiten!V21</f>
        <v>6767.8121911955968</v>
      </c>
      <c r="Z38" s="48">
        <f>Annuiteiten!W21</f>
        <v>6903.1684350195083</v>
      </c>
      <c r="AA38" s="48">
        <f>Annuiteiten!X21</f>
        <v>7041.2318037198993</v>
      </c>
      <c r="AB38" s="48">
        <f>Annuiteiten!Y21</f>
        <v>7182.0564397942971</v>
      </c>
      <c r="AC38" s="48">
        <f>Annuiteiten!Z21</f>
        <v>7325.6975685901834</v>
      </c>
      <c r="AD38" s="48">
        <f>Annuiteiten!AA21</f>
        <v>7472.2115199619866</v>
      </c>
      <c r="AE38" s="48">
        <f>Annuiteiten!AB21</f>
        <v>7621.6557503612266</v>
      </c>
      <c r="AF38" s="48">
        <f>Annuiteiten!AC21</f>
        <v>7774.0888653684506</v>
      </c>
      <c r="AG38" s="48">
        <f>Annuiteiten!AD21</f>
        <v>7929.5706426758197</v>
      </c>
      <c r="AH38" s="48">
        <f>Annuiteiten!AE21</f>
        <v>8088.1620555293366</v>
      </c>
      <c r="AI38" s="48">
        <f>Annuiteiten!AF21</f>
        <v>8249.9252966399235</v>
      </c>
      <c r="AJ38" s="48">
        <f>Annuiteiten!AG21</f>
        <v>8414.9238025727209</v>
      </c>
      <c r="AK38" s="48">
        <f>Annuiteiten!AH21</f>
        <v>8583.2222786241764</v>
      </c>
      <c r="AL38" s="48">
        <f>Annuiteiten!AI21</f>
        <v>8754.88672419666</v>
      </c>
      <c r="AM38" s="25"/>
    </row>
    <row r="39" spans="1:39" ht="15.6" x14ac:dyDescent="0.3">
      <c r="A39" s="33"/>
      <c r="B39" s="9" t="s">
        <v>91</v>
      </c>
      <c r="C39" s="60">
        <v>0</v>
      </c>
      <c r="D39" s="49">
        <f t="shared" si="33"/>
        <v>0</v>
      </c>
      <c r="E39" s="34"/>
      <c r="F39" s="36" t="s">
        <v>89</v>
      </c>
      <c r="G39" s="33"/>
      <c r="H39" s="33"/>
      <c r="I39" s="1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25"/>
    </row>
    <row r="40" spans="1:39" ht="15.6" x14ac:dyDescent="0.3">
      <c r="A40" s="33"/>
      <c r="B40" s="9" t="s">
        <v>93</v>
      </c>
      <c r="C40" s="60">
        <f>C4*F40</f>
        <v>105000</v>
      </c>
      <c r="D40" s="49">
        <f t="shared" si="33"/>
        <v>5.0569265445298502E-2</v>
      </c>
      <c r="E40" s="34">
        <v>0</v>
      </c>
      <c r="F40" s="14">
        <v>5000</v>
      </c>
      <c r="G40" s="33"/>
      <c r="H40" s="43" t="str">
        <f>B43</f>
        <v>Subsidies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25"/>
    </row>
    <row r="41" spans="1:39" ht="15.6" x14ac:dyDescent="0.3">
      <c r="A41" s="33"/>
      <c r="B41" s="9" t="s">
        <v>92</v>
      </c>
      <c r="C41" s="60">
        <v>200000</v>
      </c>
      <c r="D41" s="49">
        <f t="shared" si="33"/>
        <v>9.6322410371997153E-2</v>
      </c>
      <c r="E41" s="34">
        <v>0.02</v>
      </c>
      <c r="F41" s="35" t="s">
        <v>89</v>
      </c>
      <c r="G41" s="33"/>
      <c r="H41" s="33" t="s">
        <v>53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25"/>
    </row>
    <row r="42" spans="1:39" ht="15.6" x14ac:dyDescent="0.3">
      <c r="A42" s="33"/>
      <c r="B42" s="9"/>
      <c r="C42" s="60">
        <v>0</v>
      </c>
      <c r="D42" s="49">
        <f t="shared" si="33"/>
        <v>0</v>
      </c>
      <c r="E42" s="50">
        <v>0</v>
      </c>
      <c r="F42" s="50">
        <v>0</v>
      </c>
      <c r="G42" s="33"/>
      <c r="H42" s="33"/>
      <c r="I42" s="1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25"/>
    </row>
    <row r="43" spans="1:39" ht="15.6" x14ac:dyDescent="0.3">
      <c r="A43" s="33"/>
      <c r="B43" s="9" t="s">
        <v>54</v>
      </c>
      <c r="C43" s="60">
        <v>150000</v>
      </c>
      <c r="D43" s="49">
        <f t="shared" si="33"/>
        <v>7.2241807778997857E-2</v>
      </c>
      <c r="E43" s="50">
        <v>0.02</v>
      </c>
      <c r="F43" s="50">
        <v>0</v>
      </c>
      <c r="G43" s="33"/>
      <c r="H43" s="74" t="s">
        <v>36</v>
      </c>
      <c r="I43" s="75">
        <f>I22-I25-I26-I29-I30-I33-I34-I37-I38-I41+C45</f>
        <v>280737.37317323114</v>
      </c>
      <c r="J43" s="75">
        <f t="shared" ref="J43:AL43" si="34">J22-J25-J26-J29-J30-J33-J34-J37-J38-J41</f>
        <v>-47060.766926768832</v>
      </c>
      <c r="K43" s="75">
        <f t="shared" si="34"/>
        <v>-42729.464495518841</v>
      </c>
      <c r="L43" s="75">
        <f t="shared" si="34"/>
        <v>-38426.902407237605</v>
      </c>
      <c r="M43" s="75">
        <f t="shared" si="34"/>
        <v>-34088.628991749327</v>
      </c>
      <c r="N43" s="75">
        <f t="shared" si="34"/>
        <v>-29714.013646673833</v>
      </c>
      <c r="O43" s="75">
        <f t="shared" si="34"/>
        <v>-25302.415248187455</v>
      </c>
      <c r="P43" s="75">
        <f t="shared" si="34"/>
        <v>-20853.181992859238</v>
      </c>
      <c r="Q43" s="75">
        <f t="shared" si="34"/>
        <v>-16365.651237630555</v>
      </c>
      <c r="R43" s="75">
        <f t="shared" si="34"/>
        <v>-11839.149337933501</v>
      </c>
      <c r="S43" s="75">
        <f t="shared" si="34"/>
        <v>-7272.9914839446719</v>
      </c>
      <c r="T43" s="75">
        <f t="shared" si="34"/>
        <v>-2666.481534970766</v>
      </c>
      <c r="U43" s="75">
        <f t="shared" si="34"/>
        <v>1981.0881480355729</v>
      </c>
      <c r="V43" s="75">
        <f t="shared" si="34"/>
        <v>6670.4368718312926</v>
      </c>
      <c r="W43" s="75">
        <f t="shared" si="34"/>
        <v>11402.295782110379</v>
      </c>
      <c r="X43" s="75">
        <f t="shared" si="34"/>
        <v>40401.608036602753</v>
      </c>
      <c r="Y43" s="75">
        <f t="shared" si="34"/>
        <v>44045.855280042822</v>
      </c>
      <c r="Z43" s="75">
        <f t="shared" si="34"/>
        <v>47734.8789210061</v>
      </c>
      <c r="AA43" s="75">
        <f t="shared" si="34"/>
        <v>51469.459210609253</v>
      </c>
      <c r="AB43" s="75">
        <f t="shared" si="34"/>
        <v>55250.389123070629</v>
      </c>
      <c r="AC43" s="75">
        <f t="shared" si="34"/>
        <v>59078.474538124123</v>
      </c>
      <c r="AD43" s="75">
        <f t="shared" si="34"/>
        <v>62954.53442528013</v>
      </c>
      <c r="AE43" s="75">
        <f t="shared" si="34"/>
        <v>66879.401029925662</v>
      </c>
      <c r="AF43" s="75">
        <f t="shared" si="34"/>
        <v>70853.920061254219</v>
      </c>
      <c r="AG43" s="75">
        <f t="shared" si="34"/>
        <v>74878.950882014251</v>
      </c>
      <c r="AH43" s="75">
        <f t="shared" si="34"/>
        <v>54731.166700064459</v>
      </c>
      <c r="AI43" s="75">
        <f t="shared" si="34"/>
        <v>60034.728461722523</v>
      </c>
      <c r="AJ43" s="75">
        <f t="shared" si="34"/>
        <v>65391.463946891759</v>
      </c>
      <c r="AK43" s="75">
        <f t="shared" si="34"/>
        <v>70802.289065949401</v>
      </c>
      <c r="AL43" s="75">
        <f t="shared" si="34"/>
        <v>76268.134358377822</v>
      </c>
      <c r="AM43" s="25"/>
    </row>
    <row r="44" spans="1:39" ht="15.6" x14ac:dyDescent="0.3">
      <c r="A44" s="33"/>
      <c r="B44" s="9" t="s">
        <v>55</v>
      </c>
      <c r="C44" s="62">
        <f>SUM(C37:C43)</f>
        <v>2408452</v>
      </c>
      <c r="D44" s="51">
        <f>SUM(D37:D43)</f>
        <v>1.1599395095262863</v>
      </c>
      <c r="E44" s="33"/>
      <c r="F44" s="33"/>
      <c r="G44" s="33"/>
      <c r="H44" s="33" t="s">
        <v>56</v>
      </c>
      <c r="I44" s="13">
        <f>I43</f>
        <v>280737.37317323114</v>
      </c>
      <c r="J44" s="13">
        <f t="shared" ref="J44:Q44" si="35">J43+I44</f>
        <v>233676.60624646232</v>
      </c>
      <c r="K44" s="13">
        <f t="shared" si="35"/>
        <v>190947.1417509435</v>
      </c>
      <c r="L44" s="13">
        <f t="shared" si="35"/>
        <v>152520.23934370588</v>
      </c>
      <c r="M44" s="13">
        <f t="shared" si="35"/>
        <v>118431.61035195655</v>
      </c>
      <c r="N44" s="13">
        <f t="shared" si="35"/>
        <v>88717.596705282718</v>
      </c>
      <c r="O44" s="13">
        <f t="shared" si="35"/>
        <v>63415.181457095263</v>
      </c>
      <c r="P44" s="13">
        <f t="shared" si="35"/>
        <v>42561.999464236025</v>
      </c>
      <c r="Q44" s="13">
        <f t="shared" si="35"/>
        <v>26196.348226605471</v>
      </c>
      <c r="R44" s="13">
        <f t="shared" ref="R44" si="36">R43+Q44</f>
        <v>14357.19888867197</v>
      </c>
      <c r="S44" s="13">
        <f t="shared" ref="S44" si="37">S43+R44</f>
        <v>7084.2074047272981</v>
      </c>
      <c r="T44" s="13">
        <f t="shared" ref="T44" si="38">T43+S44</f>
        <v>4417.7258697565321</v>
      </c>
      <c r="U44" s="13">
        <f t="shared" ref="U44" si="39">U43+T44</f>
        <v>6398.814017792105</v>
      </c>
      <c r="V44" s="13">
        <f t="shared" ref="V44" si="40">V43+U44</f>
        <v>13069.250889623398</v>
      </c>
      <c r="W44" s="13">
        <f t="shared" ref="W44" si="41">W43+V44</f>
        <v>24471.546671733777</v>
      </c>
      <c r="X44" s="13">
        <f t="shared" ref="X44" si="42">X43+W44</f>
        <v>64873.154708336529</v>
      </c>
      <c r="Y44" s="13">
        <f t="shared" ref="Y44" si="43">Y43+X44</f>
        <v>108919.00998837934</v>
      </c>
      <c r="Z44" s="13">
        <f t="shared" ref="Z44" si="44">Z43+Y44</f>
        <v>156653.88890938545</v>
      </c>
      <c r="AA44" s="13">
        <f t="shared" ref="AA44" si="45">AA43+Z44</f>
        <v>208123.34811999471</v>
      </c>
      <c r="AB44" s="13">
        <f t="shared" ref="AB44" si="46">AB43+AA44</f>
        <v>263373.73724306532</v>
      </c>
      <c r="AC44" s="13">
        <f t="shared" ref="AC44" si="47">AC43+AB44</f>
        <v>322452.21178118943</v>
      </c>
      <c r="AD44" s="13">
        <f t="shared" ref="AD44" si="48">AD43+AC44</f>
        <v>385406.74620646954</v>
      </c>
      <c r="AE44" s="13">
        <f t="shared" ref="AE44" si="49">AE43+AD44</f>
        <v>452286.14723639522</v>
      </c>
      <c r="AF44" s="13">
        <f t="shared" ref="AF44" si="50">AF43+AE44</f>
        <v>523140.06729764945</v>
      </c>
      <c r="AG44" s="13">
        <f t="shared" ref="AG44" si="51">AG43+AF44</f>
        <v>598019.01817966369</v>
      </c>
      <c r="AH44" s="13">
        <f t="shared" ref="AH44" si="52">AH43+AG44</f>
        <v>652750.18487972813</v>
      </c>
      <c r="AI44" s="13">
        <f t="shared" ref="AI44" si="53">AI43+AH44</f>
        <v>712784.91334145062</v>
      </c>
      <c r="AJ44" s="13">
        <f t="shared" ref="AJ44" si="54">AJ43+AI44</f>
        <v>778176.37728834234</v>
      </c>
      <c r="AK44" s="13">
        <f t="shared" ref="AK44" si="55">AK43+AJ44</f>
        <v>848978.66635429172</v>
      </c>
      <c r="AL44" s="13">
        <f t="shared" ref="AL44" si="56">AL43+AK44</f>
        <v>925246.8007126695</v>
      </c>
      <c r="AM44" s="25"/>
    </row>
    <row r="45" spans="1:39" ht="15.6" x14ac:dyDescent="0.3">
      <c r="A45" s="33"/>
      <c r="B45" s="9" t="s">
        <v>57</v>
      </c>
      <c r="C45" s="62">
        <f>C44-C34</f>
        <v>332092</v>
      </c>
      <c r="D45" s="66">
        <f>C45/C34</f>
        <v>0.15993950952628638</v>
      </c>
      <c r="E45" s="67" t="s">
        <v>58</v>
      </c>
      <c r="F45" s="33"/>
      <c r="G45" s="33"/>
      <c r="H45" s="3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25"/>
    </row>
    <row r="46" spans="1:39" ht="15.6" x14ac:dyDescent="0.3">
      <c r="A46" s="33"/>
      <c r="B46" s="9"/>
      <c r="C46" s="33"/>
      <c r="D46" s="52"/>
      <c r="E46" s="34"/>
      <c r="F46" s="34"/>
      <c r="G46" s="33"/>
      <c r="H46" s="76" t="s">
        <v>59</v>
      </c>
      <c r="I46" s="77">
        <f>I17/I19</f>
        <v>6.9080368667145522E-2</v>
      </c>
      <c r="J46" s="77">
        <f t="shared" ref="J46:AL46" si="57">J17/J19</f>
        <v>7.284615676429583E-2</v>
      </c>
      <c r="K46" s="77">
        <f t="shared" si="57"/>
        <v>7.6908530910684628E-2</v>
      </c>
      <c r="L46" s="77">
        <f t="shared" si="57"/>
        <v>8.1249850715194818E-2</v>
      </c>
      <c r="M46" s="77">
        <f t="shared" si="57"/>
        <v>8.5953468206157707E-2</v>
      </c>
      <c r="N46" s="77">
        <f t="shared" si="57"/>
        <v>9.1063379744301134E-2</v>
      </c>
      <c r="O46" s="77">
        <f t="shared" si="57"/>
        <v>9.663092346580876E-2</v>
      </c>
      <c r="P46" s="77">
        <f t="shared" si="57"/>
        <v>0.10271637546240102</v>
      </c>
      <c r="Q46" s="77">
        <f t="shared" si="57"/>
        <v>0.10939098128499808</v>
      </c>
      <c r="R46" s="77">
        <f t="shared" si="57"/>
        <v>0.11673956787883041</v>
      </c>
      <c r="S46" s="77">
        <f t="shared" si="57"/>
        <v>0.12486393910100653</v>
      </c>
      <c r="T46" s="77">
        <f t="shared" si="57"/>
        <v>0.13388734350881612</v>
      </c>
      <c r="U46" s="77">
        <f t="shared" si="57"/>
        <v>0.14396043141294465</v>
      </c>
      <c r="V46" s="77">
        <f t="shared" si="57"/>
        <v>0.15526931442233027</v>
      </c>
      <c r="W46" s="77">
        <f t="shared" si="57"/>
        <v>0.16804664732075664</v>
      </c>
      <c r="X46" s="77">
        <f>X17/X19</f>
        <v>0.18258714269665804</v>
      </c>
      <c r="Y46" s="78">
        <f t="shared" si="57"/>
        <v>0.19239836454057713</v>
      </c>
      <c r="Z46" s="77">
        <f t="shared" si="57"/>
        <v>0.20297640279993745</v>
      </c>
      <c r="AA46" s="77">
        <f t="shared" si="57"/>
        <v>0.2144076522457922</v>
      </c>
      <c r="AB46" s="77">
        <f t="shared" si="57"/>
        <v>0.22679181935330947</v>
      </c>
      <c r="AC46" s="77">
        <f t="shared" si="57"/>
        <v>0.24024458494380485</v>
      </c>
      <c r="AD46" s="77">
        <f t="shared" si="57"/>
        <v>0.25490093249045881</v>
      </c>
      <c r="AE46" s="77">
        <f t="shared" si="57"/>
        <v>0.27091934468100076</v>
      </c>
      <c r="AF46" s="77">
        <f t="shared" si="57"/>
        <v>0.28848714450092183</v>
      </c>
      <c r="AG46" s="77">
        <f t="shared" si="57"/>
        <v>0.30782736234403751</v>
      </c>
      <c r="AH46" s="77">
        <f t="shared" si="57"/>
        <v>0.32920766325994927</v>
      </c>
      <c r="AI46" s="77">
        <f t="shared" si="57"/>
        <v>0.3725605429659673</v>
      </c>
      <c r="AJ46" s="77">
        <f t="shared" si="57"/>
        <v>0.42688883423823232</v>
      </c>
      <c r="AK46" s="77">
        <f t="shared" si="57"/>
        <v>0.49689898558560175</v>
      </c>
      <c r="AL46" s="77">
        <f t="shared" si="57"/>
        <v>0.59043512818155219</v>
      </c>
      <c r="AM46" s="25"/>
    </row>
    <row r="47" spans="1:39" ht="15.6" x14ac:dyDescent="0.3">
      <c r="A47" s="33"/>
      <c r="B47" s="9" t="s">
        <v>60</v>
      </c>
      <c r="C47" s="68">
        <f>C17/C34</f>
        <v>6.0683118534358205E-2</v>
      </c>
      <c r="D47" s="69">
        <f>1/C47</f>
        <v>16.47904761904762</v>
      </c>
      <c r="E47" s="53"/>
      <c r="F47" s="53"/>
      <c r="G47" s="33"/>
      <c r="H47" s="76" t="s">
        <v>61</v>
      </c>
      <c r="I47" s="79">
        <f t="shared" ref="I47:AL47" si="58">(I19+I24+I28+I32+I40+I36)/$C26</f>
        <v>1.0767260000000001</v>
      </c>
      <c r="J47" s="79">
        <f t="shared" si="58"/>
        <v>1.0443423975866157</v>
      </c>
      <c r="K47" s="79">
        <f t="shared" si="58"/>
        <v>1.0117671350740434</v>
      </c>
      <c r="L47" s="79">
        <f t="shared" si="58"/>
        <v>0.97899566745902644</v>
      </c>
      <c r="M47" s="79">
        <f t="shared" si="58"/>
        <v>0.94602334104321106</v>
      </c>
      <c r="N47" s="79">
        <f t="shared" si="58"/>
        <v>0.912845390814369</v>
      </c>
      <c r="O47" s="79">
        <f t="shared" si="58"/>
        <v>0.8794569377641217</v>
      </c>
      <c r="P47" s="79">
        <f t="shared" si="58"/>
        <v>0.84585298614062043</v>
      </c>
      <c r="Q47" s="79">
        <f t="shared" si="58"/>
        <v>0.81202842063459402</v>
      </c>
      <c r="R47" s="79">
        <f t="shared" si="58"/>
        <v>0.77797800349714052</v>
      </c>
      <c r="S47" s="79">
        <f t="shared" si="58"/>
        <v>0.7436963715875986</v>
      </c>
      <c r="T47" s="79">
        <f t="shared" si="58"/>
        <v>0.70917803334979301</v>
      </c>
      <c r="U47" s="79">
        <f t="shared" si="58"/>
        <v>0.67441736571490696</v>
      </c>
      <c r="V47" s="79">
        <f t="shared" si="58"/>
        <v>0.63940861092919044</v>
      </c>
      <c r="W47" s="79">
        <f t="shared" si="58"/>
        <v>0.60414587330467362</v>
      </c>
      <c r="X47" s="79">
        <f t="shared" si="58"/>
        <v>0.56862311589100323</v>
      </c>
      <c r="Y47" s="79">
        <f t="shared" si="58"/>
        <v>0.54494625706647992</v>
      </c>
      <c r="Z47" s="79">
        <f t="shared" si="58"/>
        <v>0.52099686704632187</v>
      </c>
      <c r="AA47" s="79">
        <f t="shared" si="58"/>
        <v>0.4967684643061378</v>
      </c>
      <c r="AB47" s="79">
        <f t="shared" si="58"/>
        <v>0.47225441191853668</v>
      </c>
      <c r="AC47" s="79">
        <f t="shared" si="58"/>
        <v>0.44744791380075488</v>
      </c>
      <c r="AD47" s="79">
        <f t="shared" si="58"/>
        <v>0.42234201087112794</v>
      </c>
      <c r="AE47" s="79">
        <f t="shared" si="58"/>
        <v>0.39692957711218191</v>
      </c>
      <c r="AF47" s="79">
        <f t="shared" si="58"/>
        <v>0.37120331553806207</v>
      </c>
      <c r="AG47" s="79">
        <f t="shared" si="58"/>
        <v>0.3451557540639652</v>
      </c>
      <c r="AH47" s="79">
        <f t="shared" si="58"/>
        <v>0.31877924127517931</v>
      </c>
      <c r="AI47" s="79">
        <f t="shared" si="58"/>
        <v>0.2799538420932805</v>
      </c>
      <c r="AJ47" s="79">
        <f t="shared" si="58"/>
        <v>0.240783633336973</v>
      </c>
      <c r="AK47" s="79">
        <f t="shared" si="58"/>
        <v>0.20126039917499941</v>
      </c>
      <c r="AL47" s="79">
        <f t="shared" si="58"/>
        <v>0.16137572646848292</v>
      </c>
      <c r="AM47" s="25"/>
    </row>
    <row r="48" spans="1:39" ht="15.75" customHeight="1" x14ac:dyDescent="0.3">
      <c r="A48" s="13"/>
      <c r="B48" s="9" t="s">
        <v>62</v>
      </c>
      <c r="C48" s="68">
        <f>(C17-C19-C22)/C34</f>
        <v>4.8642817237858557E-2</v>
      </c>
      <c r="D48" s="69">
        <f>1/C48</f>
        <v>20.558019801980198</v>
      </c>
      <c r="E48" s="34"/>
      <c r="F48" s="34"/>
      <c r="G48" s="33"/>
      <c r="H48" s="76" t="s">
        <v>63</v>
      </c>
      <c r="I48" s="79">
        <f t="shared" ref="I48:AL48" si="59">I19/$C26</f>
        <v>0.72672599999999998</v>
      </c>
      <c r="J48" s="79">
        <f t="shared" si="59"/>
        <v>0.70250180000000007</v>
      </c>
      <c r="K48" s="79">
        <f t="shared" si="59"/>
        <v>0.67827760000000015</v>
      </c>
      <c r="L48" s="79">
        <f t="shared" si="59"/>
        <v>0.65405340000000012</v>
      </c>
      <c r="M48" s="79">
        <f t="shared" si="59"/>
        <v>0.6298292000000002</v>
      </c>
      <c r="N48" s="79">
        <f t="shared" si="59"/>
        <v>0.60560500000000028</v>
      </c>
      <c r="O48" s="79">
        <f t="shared" si="59"/>
        <v>0.58138080000000025</v>
      </c>
      <c r="P48" s="79">
        <f t="shared" si="59"/>
        <v>0.55715660000000033</v>
      </c>
      <c r="Q48" s="79">
        <f t="shared" si="59"/>
        <v>0.53293240000000042</v>
      </c>
      <c r="R48" s="79">
        <f t="shared" si="59"/>
        <v>0.50870820000000039</v>
      </c>
      <c r="S48" s="79">
        <f t="shared" si="59"/>
        <v>0.48448400000000036</v>
      </c>
      <c r="T48" s="79">
        <f t="shared" si="59"/>
        <v>0.46025980000000033</v>
      </c>
      <c r="U48" s="79">
        <f t="shared" si="59"/>
        <v>0.4360356000000003</v>
      </c>
      <c r="V48" s="79">
        <f t="shared" si="59"/>
        <v>0.41181140000000033</v>
      </c>
      <c r="W48" s="79">
        <f t="shared" si="59"/>
        <v>0.3875872000000003</v>
      </c>
      <c r="X48" s="79">
        <f>X19/$C26</f>
        <v>0.36336300000000027</v>
      </c>
      <c r="Y48" s="79">
        <f t="shared" si="59"/>
        <v>0.35125090000000025</v>
      </c>
      <c r="Z48" s="79">
        <f t="shared" si="59"/>
        <v>0.33913880000000024</v>
      </c>
      <c r="AA48" s="79">
        <f t="shared" si="59"/>
        <v>0.32702670000000017</v>
      </c>
      <c r="AB48" s="79">
        <f t="shared" si="59"/>
        <v>0.31491460000000016</v>
      </c>
      <c r="AC48" s="79">
        <f t="shared" si="59"/>
        <v>0.30280250000000014</v>
      </c>
      <c r="AD48" s="79">
        <f t="shared" si="59"/>
        <v>0.29069040000000007</v>
      </c>
      <c r="AE48" s="79">
        <f t="shared" si="59"/>
        <v>0.27857830000000006</v>
      </c>
      <c r="AF48" s="79">
        <f t="shared" si="59"/>
        <v>0.26646619999999999</v>
      </c>
      <c r="AG48" s="79">
        <f t="shared" si="59"/>
        <v>0.25435410000000003</v>
      </c>
      <c r="AH48" s="79">
        <f t="shared" si="59"/>
        <v>0.24224200000000001</v>
      </c>
      <c r="AI48" s="79">
        <f t="shared" si="59"/>
        <v>0.21801779999999998</v>
      </c>
      <c r="AJ48" s="79">
        <f t="shared" si="59"/>
        <v>0.19379359999999998</v>
      </c>
      <c r="AK48" s="79">
        <f t="shared" si="59"/>
        <v>0.16956939999999995</v>
      </c>
      <c r="AL48" s="79">
        <f t="shared" si="59"/>
        <v>0.14534519999999995</v>
      </c>
      <c r="AM48" s="33"/>
    </row>
    <row r="49" spans="1:39" ht="15.75" customHeight="1" x14ac:dyDescent="0.3">
      <c r="A49" s="33"/>
      <c r="B49" s="9"/>
      <c r="C49" s="33"/>
      <c r="D49" s="35"/>
      <c r="E49" s="33"/>
      <c r="F49" s="33"/>
      <c r="G49" s="33"/>
      <c r="H49" s="76" t="s">
        <v>64</v>
      </c>
      <c r="I49" s="80">
        <f>I17/(I20+(I19*1.5%))</f>
        <v>1.0878798215298509</v>
      </c>
      <c r="J49" s="80">
        <f t="shared" ref="J49:AL49" si="60">J17/(J20+(J19*1.5%))</f>
        <v>1.1471835710912728</v>
      </c>
      <c r="K49" s="80">
        <f t="shared" si="60"/>
        <v>1.2111579670973958</v>
      </c>
      <c r="L49" s="80">
        <f t="shared" si="60"/>
        <v>1.2795252081133044</v>
      </c>
      <c r="M49" s="80">
        <f t="shared" si="60"/>
        <v>1.3535979245064205</v>
      </c>
      <c r="N49" s="80">
        <f t="shared" si="60"/>
        <v>1.4340689723511988</v>
      </c>
      <c r="O49" s="80">
        <f t="shared" si="60"/>
        <v>1.5217468262332088</v>
      </c>
      <c r="P49" s="80">
        <f t="shared" si="60"/>
        <v>1.6175807159433229</v>
      </c>
      <c r="Q49" s="80">
        <f t="shared" si="60"/>
        <v>1.7226926186613869</v>
      </c>
      <c r="R49" s="80">
        <f t="shared" si="60"/>
        <v>1.8384183917926051</v>
      </c>
      <c r="S49" s="80">
        <f t="shared" si="60"/>
        <v>1.9663612456851423</v>
      </c>
      <c r="T49" s="80">
        <f t="shared" si="60"/>
        <v>2.1084621025010413</v>
      </c>
      <c r="U49" s="80">
        <f t="shared" si="60"/>
        <v>2.2670934080778684</v>
      </c>
      <c r="V49" s="80">
        <f t="shared" si="60"/>
        <v>2.4451860538949646</v>
      </c>
      <c r="W49" s="80">
        <f t="shared" si="60"/>
        <v>2.646403894815065</v>
      </c>
      <c r="X49" s="80">
        <f>X17/(X20+(X19*1.5%))</f>
        <v>2.8753880739631188</v>
      </c>
      <c r="Y49" s="80">
        <f t="shared" si="60"/>
        <v>3.0298955045760172</v>
      </c>
      <c r="Z49" s="80">
        <f t="shared" si="60"/>
        <v>3.1964787842509836</v>
      </c>
      <c r="AA49" s="80">
        <f t="shared" si="60"/>
        <v>3.3764984605636572</v>
      </c>
      <c r="AB49" s="80">
        <f t="shared" si="60"/>
        <v>3.5715247142253461</v>
      </c>
      <c r="AC49" s="80">
        <f t="shared" si="60"/>
        <v>3.7833792904536194</v>
      </c>
      <c r="AD49" s="80">
        <f t="shared" si="60"/>
        <v>4.0141879132355722</v>
      </c>
      <c r="AE49" s="80">
        <f t="shared" si="60"/>
        <v>4.2664463729291464</v>
      </c>
      <c r="AF49" s="80">
        <f t="shared" si="60"/>
        <v>4.5431046378097921</v>
      </c>
      <c r="AG49" s="80">
        <f t="shared" si="60"/>
        <v>4.8476749975438977</v>
      </c>
      <c r="AH49" s="80">
        <f t="shared" si="60"/>
        <v>5.184372649762981</v>
      </c>
      <c r="AI49" s="80">
        <f t="shared" si="60"/>
        <v>5.8670951648183829</v>
      </c>
      <c r="AJ49" s="80">
        <f t="shared" si="60"/>
        <v>6.722658806901296</v>
      </c>
      <c r="AK49" s="80">
        <f t="shared" si="60"/>
        <v>7.8251808753638068</v>
      </c>
      <c r="AL49" s="80">
        <f t="shared" si="60"/>
        <v>9.2981909949850738</v>
      </c>
      <c r="AM49" s="33"/>
    </row>
    <row r="50" spans="1:39" ht="15.75" customHeight="1" x14ac:dyDescent="0.3">
      <c r="A50" s="33"/>
      <c r="B50" s="9" t="s">
        <v>65</v>
      </c>
      <c r="C50" s="70">
        <f>C37/C34</f>
        <v>0.7</v>
      </c>
      <c r="D50" s="71" t="s">
        <v>66</v>
      </c>
      <c r="E50" s="72"/>
      <c r="F50" s="7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</row>
    <row r="51" spans="1:39" ht="15.6" x14ac:dyDescent="0.3">
      <c r="A51" s="33"/>
      <c r="B51" s="9" t="s">
        <v>67</v>
      </c>
      <c r="C51" s="70">
        <f>C37/C26</f>
        <v>0.72672599999999998</v>
      </c>
      <c r="D51" s="71" t="s">
        <v>66</v>
      </c>
      <c r="E51" s="72"/>
      <c r="F51" s="7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25"/>
    </row>
    <row r="52" spans="1:39" ht="15.75" customHeight="1" x14ac:dyDescent="0.3">
      <c r="A52" s="33"/>
      <c r="B52" s="33"/>
      <c r="C52" s="33"/>
      <c r="D52" s="36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25"/>
    </row>
    <row r="53" spans="1:39" ht="14.4" x14ac:dyDescent="0.3">
      <c r="A53" s="33"/>
      <c r="B53" s="81" t="s">
        <v>68</v>
      </c>
      <c r="C53" s="82"/>
      <c r="D53" s="83">
        <v>6.0000000000000001E-3</v>
      </c>
      <c r="E53" s="81"/>
      <c r="F53" s="81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25"/>
    </row>
    <row r="54" spans="1:39" ht="16.5" customHeight="1" x14ac:dyDescent="0.3">
      <c r="A54" s="33"/>
      <c r="B54" s="81" t="s">
        <v>77</v>
      </c>
      <c r="C54" s="81"/>
      <c r="D54" s="83">
        <v>3.3500000000000002E-2</v>
      </c>
      <c r="E54" s="81"/>
      <c r="F54" s="81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25"/>
    </row>
    <row r="55" spans="1:39" ht="15.75" customHeight="1" x14ac:dyDescent="0.3">
      <c r="A55" s="33"/>
      <c r="B55" s="81" t="s">
        <v>69</v>
      </c>
      <c r="C55" s="81"/>
      <c r="D55" s="83">
        <v>1.4999999999999999E-2</v>
      </c>
      <c r="E55" s="81"/>
      <c r="F55" s="81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25"/>
    </row>
    <row r="56" spans="1:39" ht="15.75" customHeight="1" x14ac:dyDescent="0.3">
      <c r="A56" s="33"/>
      <c r="B56" s="81" t="s">
        <v>70</v>
      </c>
      <c r="C56" s="81"/>
      <c r="D56" s="83">
        <v>0</v>
      </c>
      <c r="E56" s="81"/>
      <c r="F56" s="81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25"/>
    </row>
    <row r="57" spans="1:39" ht="14.4" x14ac:dyDescent="0.3">
      <c r="A57" s="33"/>
      <c r="B57" s="82" t="s">
        <v>71</v>
      </c>
      <c r="C57" s="82"/>
      <c r="D57" s="84">
        <f>D54+D55-D56</f>
        <v>4.8500000000000001E-2</v>
      </c>
      <c r="E57" s="81"/>
      <c r="F57" s="81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25"/>
    </row>
    <row r="58" spans="1:39" ht="14.4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25"/>
    </row>
    <row r="59" spans="1:39" ht="14.4" x14ac:dyDescent="0.3">
      <c r="A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25"/>
    </row>
    <row r="60" spans="1:39" ht="7.5" customHeight="1" x14ac:dyDescent="0.3">
      <c r="A60" s="22"/>
      <c r="G60" s="22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25"/>
    </row>
    <row r="61" spans="1:39" ht="15.75" customHeight="1" x14ac:dyDescent="0.3"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</row>
  </sheetData>
  <conditionalFormatting sqref="I44:AL44">
    <cfRule type="colorScale" priority="7">
      <colorScale>
        <cfvo type="min"/>
        <cfvo type="max"/>
        <color rgb="FFFFEF9C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0" priority="9" operator="greaterThan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FB05E-B8CE-41CF-B93A-D9613E2F07A7}">
  <dimension ref="A1:AI22"/>
  <sheetViews>
    <sheetView workbookViewId="0">
      <selection activeCell="B21" sqref="B21"/>
    </sheetView>
  </sheetViews>
  <sheetFormatPr defaultRowHeight="13.2" x14ac:dyDescent="0.25"/>
  <cols>
    <col min="1" max="1" width="22.5546875" bestFit="1" customWidth="1"/>
    <col min="2" max="2" width="10.6640625" bestFit="1" customWidth="1"/>
    <col min="4" max="4" width="14.88671875" customWidth="1"/>
    <col min="5" max="5" width="25.5546875" customWidth="1"/>
    <col min="6" max="35" width="12.6640625" customWidth="1"/>
  </cols>
  <sheetData>
    <row r="1" spans="1:35" ht="13.8" x14ac:dyDescent="0.3">
      <c r="A1" s="74" t="s">
        <v>96</v>
      </c>
      <c r="B1" s="74"/>
      <c r="C1" s="74"/>
      <c r="D1" s="74"/>
      <c r="E1" s="74" t="s">
        <v>97</v>
      </c>
      <c r="F1" s="74">
        <v>1</v>
      </c>
      <c r="G1" s="74">
        <v>2</v>
      </c>
      <c r="H1" s="74">
        <v>3</v>
      </c>
      <c r="I1" s="74">
        <v>4</v>
      </c>
      <c r="J1" s="74">
        <v>5</v>
      </c>
      <c r="K1" s="74">
        <v>6</v>
      </c>
      <c r="L1" s="74">
        <v>7</v>
      </c>
      <c r="M1" s="74">
        <v>8</v>
      </c>
      <c r="N1" s="74">
        <v>9</v>
      </c>
      <c r="O1" s="74">
        <v>10</v>
      </c>
      <c r="P1" s="74">
        <v>11</v>
      </c>
      <c r="Q1" s="74">
        <v>12</v>
      </c>
      <c r="R1" s="74">
        <v>13</v>
      </c>
      <c r="S1" s="74">
        <v>14</v>
      </c>
      <c r="T1" s="74">
        <v>15</v>
      </c>
      <c r="U1" s="74">
        <v>16</v>
      </c>
      <c r="V1" s="74">
        <v>17</v>
      </c>
      <c r="W1" s="74">
        <v>18</v>
      </c>
      <c r="X1" s="74">
        <v>19</v>
      </c>
      <c r="Y1" s="74">
        <v>20</v>
      </c>
      <c r="Z1" s="74">
        <v>21</v>
      </c>
      <c r="AA1" s="74">
        <v>22</v>
      </c>
      <c r="AB1" s="74">
        <v>23</v>
      </c>
      <c r="AC1" s="74">
        <v>24</v>
      </c>
      <c r="AD1" s="74">
        <v>25</v>
      </c>
      <c r="AE1" s="74">
        <v>26</v>
      </c>
      <c r="AF1" s="74">
        <v>27</v>
      </c>
      <c r="AG1" s="74">
        <v>28</v>
      </c>
      <c r="AH1" s="74">
        <v>29</v>
      </c>
      <c r="AI1" s="74">
        <v>30</v>
      </c>
    </row>
    <row r="2" spans="1:35" x14ac:dyDescent="0.25">
      <c r="B2" s="1"/>
      <c r="C2" s="2"/>
      <c r="D2" s="2"/>
      <c r="E2" s="2"/>
    </row>
    <row r="3" spans="1:35" ht="13.8" x14ac:dyDescent="0.3">
      <c r="A3" s="43" t="str">
        <f>Ontwikkelfase!H19</f>
        <v>Hoofdsom bank</v>
      </c>
      <c r="B3" s="7">
        <f>Ontwikkelfase!C37</f>
        <v>1453452</v>
      </c>
      <c r="C3" s="2" t="s">
        <v>72</v>
      </c>
      <c r="D3" s="1"/>
      <c r="E3" s="2" t="s">
        <v>72</v>
      </c>
      <c r="F3" s="3">
        <f>B3</f>
        <v>1453452</v>
      </c>
      <c r="G3" s="3">
        <f>F3-F5</f>
        <v>1431005.7756991489</v>
      </c>
      <c r="H3" s="3">
        <f t="shared" ref="H3:Q3" si="0">G3-G5</f>
        <v>1407470.9095197066</v>
      </c>
      <c r="I3" s="3">
        <f t="shared" si="0"/>
        <v>1382794.6023305613</v>
      </c>
      <c r="J3" s="3">
        <f t="shared" si="0"/>
        <v>1356921.4942427424</v>
      </c>
      <c r="K3" s="3">
        <f t="shared" si="0"/>
        <v>1329793.5404126644</v>
      </c>
      <c r="L3" s="3">
        <f t="shared" si="0"/>
        <v>1301349.8808218276</v>
      </c>
      <c r="M3" s="3">
        <f t="shared" si="0"/>
        <v>1271526.7037408352</v>
      </c>
      <c r="N3" s="3">
        <f t="shared" si="0"/>
        <v>1240257.1025714146</v>
      </c>
      <c r="O3" s="3">
        <f t="shared" si="0"/>
        <v>1207470.925745277</v>
      </c>
      <c r="P3" s="3">
        <f t="shared" si="0"/>
        <v>1173094.6193430717</v>
      </c>
      <c r="Q3" s="3">
        <f t="shared" si="0"/>
        <v>1137051.0620803596</v>
      </c>
      <c r="R3" s="3">
        <f>Q3-Q5</f>
        <v>1099259.3922904059</v>
      </c>
      <c r="S3" s="3">
        <f t="shared" ref="S3:Y3" si="1">R3-R5</f>
        <v>1059634.8265156394</v>
      </c>
      <c r="T3" s="3">
        <f t="shared" si="1"/>
        <v>1018088.4693007969</v>
      </c>
      <c r="U3" s="3">
        <f t="shared" si="1"/>
        <v>974527.11376103444</v>
      </c>
      <c r="V3" s="3">
        <f t="shared" si="1"/>
        <v>928853.03247759352</v>
      </c>
      <c r="W3" s="3">
        <f t="shared" si="1"/>
        <v>880963.75825190567</v>
      </c>
      <c r="X3" s="3">
        <f t="shared" si="1"/>
        <v>830751.85422627197</v>
      </c>
      <c r="Y3" s="3">
        <f t="shared" si="1"/>
        <v>778104.67285539513</v>
      </c>
      <c r="Z3" s="3">
        <f t="shared" ref="Z3" si="2">Y3-Y5</f>
        <v>722904.10318803065</v>
      </c>
      <c r="AA3" s="3">
        <f t="shared" ref="AA3" si="3">Z3-Z5</f>
        <v>665026.30589179904</v>
      </c>
      <c r="AB3" s="3">
        <f t="shared" ref="AB3" si="4">AA3-AA5</f>
        <v>604341.43542670016</v>
      </c>
      <c r="AC3" s="3">
        <f t="shared" ref="AC3" si="5">AB3-AB5</f>
        <v>540713.34874404408</v>
      </c>
      <c r="AD3" s="3">
        <f t="shared" ref="AD3" si="6">AC3-AC5</f>
        <v>473999.29985727911</v>
      </c>
      <c r="AE3" s="3">
        <f t="shared" ref="AE3" si="7">AD3-AD5</f>
        <v>404049.61959950603</v>
      </c>
      <c r="AF3" s="3">
        <f t="shared" ref="AF3" si="8">AE3-AE5</f>
        <v>330707.37984923099</v>
      </c>
      <c r="AG3" s="3">
        <f t="shared" ref="AG3" si="9">AF3-AF5</f>
        <v>253808.04147106758</v>
      </c>
      <c r="AH3" s="3">
        <f t="shared" ref="AH3" si="10">AG3-AG5</f>
        <v>173179.08518156328</v>
      </c>
      <c r="AI3" s="3">
        <f t="shared" ref="AI3" si="11">AH3-AH5</f>
        <v>88639.62451201801</v>
      </c>
    </row>
    <row r="4" spans="1:35" x14ac:dyDescent="0.25">
      <c r="B4" s="1">
        <v>30</v>
      </c>
      <c r="C4" s="2" t="s">
        <v>73</v>
      </c>
      <c r="D4" s="1"/>
      <c r="E4" s="2" t="s">
        <v>74</v>
      </c>
      <c r="F4" s="3">
        <f>F3*$B5</f>
        <v>70492.422000000006</v>
      </c>
      <c r="G4" s="3">
        <f>G3*$B5</f>
        <v>69403.780121408723</v>
      </c>
      <c r="H4" s="3">
        <f t="shared" ref="H4:Q4" si="12">H3*$B5</f>
        <v>68262.339111705776</v>
      </c>
      <c r="I4" s="3">
        <f t="shared" si="12"/>
        <v>67065.538213032225</v>
      </c>
      <c r="J4" s="3">
        <f t="shared" si="12"/>
        <v>65810.692470773007</v>
      </c>
      <c r="K4" s="3">
        <f t="shared" si="12"/>
        <v>64494.986710014229</v>
      </c>
      <c r="L4" s="3">
        <f t="shared" si="12"/>
        <v>63115.469219858642</v>
      </c>
      <c r="M4" s="3">
        <f t="shared" si="12"/>
        <v>61669.04513143051</v>
      </c>
      <c r="N4" s="3">
        <f t="shared" si="12"/>
        <v>60152.469474713609</v>
      </c>
      <c r="O4" s="3">
        <f t="shared" si="12"/>
        <v>58562.339898645936</v>
      </c>
      <c r="P4" s="3">
        <f t="shared" si="12"/>
        <v>56895.089038138976</v>
      </c>
      <c r="Q4" s="3">
        <f t="shared" si="12"/>
        <v>55146.976510897439</v>
      </c>
      <c r="R4" s="3">
        <f>R3*$B5</f>
        <v>53314.08052608469</v>
      </c>
      <c r="S4" s="3">
        <f t="shared" ref="S4:Y4" si="13">S3*$B5</f>
        <v>51392.289086008517</v>
      </c>
      <c r="T4" s="3">
        <f t="shared" si="13"/>
        <v>49377.290761088647</v>
      </c>
      <c r="U4" s="3">
        <f t="shared" si="13"/>
        <v>47264.565017410168</v>
      </c>
      <c r="V4" s="3">
        <f t="shared" si="13"/>
        <v>45049.372075163286</v>
      </c>
      <c r="W4" s="3">
        <f t="shared" si="13"/>
        <v>42726.742275217424</v>
      </c>
      <c r="X4" s="3">
        <f t="shared" si="13"/>
        <v>40291.464929974194</v>
      </c>
      <c r="Y4" s="3">
        <f t="shared" si="13"/>
        <v>37738.076633486664</v>
      </c>
      <c r="Z4" s="3">
        <f t="shared" ref="Z4:AI4" si="14">Z3*$B5</f>
        <v>35060.849004619486</v>
      </c>
      <c r="AA4" s="3">
        <f t="shared" si="14"/>
        <v>32253.775835752254</v>
      </c>
      <c r="AB4" s="3">
        <f t="shared" si="14"/>
        <v>29310.559618194959</v>
      </c>
      <c r="AC4" s="3">
        <f t="shared" si="14"/>
        <v>26224.59741408614</v>
      </c>
      <c r="AD4" s="3">
        <f t="shared" si="14"/>
        <v>22988.966043078039</v>
      </c>
      <c r="AE4" s="3">
        <f t="shared" si="14"/>
        <v>19596.406550576045</v>
      </c>
      <c r="AF4" s="3">
        <f t="shared" si="14"/>
        <v>16039.307922687703</v>
      </c>
      <c r="AG4" s="3">
        <f t="shared" si="14"/>
        <v>12309.690011346778</v>
      </c>
      <c r="AH4" s="3">
        <f t="shared" si="14"/>
        <v>8399.1856313058197</v>
      </c>
      <c r="AI4" s="3">
        <f t="shared" si="14"/>
        <v>4299.0217888328734</v>
      </c>
    </row>
    <row r="5" spans="1:35" x14ac:dyDescent="0.25">
      <c r="B5" s="4">
        <f>Ontwikkelfase!E37</f>
        <v>4.8500000000000001E-2</v>
      </c>
      <c r="C5" s="2" t="s">
        <v>32</v>
      </c>
      <c r="D5" s="5">
        <f>-PMT(B5,B4,B3)</f>
        <v>92938.646300851091</v>
      </c>
      <c r="E5" s="2" t="s">
        <v>75</v>
      </c>
      <c r="F5" s="6">
        <f>$D5-$F4</f>
        <v>22446.224300851085</v>
      </c>
      <c r="G5" s="6">
        <f>$D5-G4</f>
        <v>23534.866179442368</v>
      </c>
      <c r="H5" s="6">
        <f t="shared" ref="H5:Q5" si="15">$D5-H4</f>
        <v>24676.307189145315</v>
      </c>
      <c r="I5" s="6">
        <f t="shared" si="15"/>
        <v>25873.108087818866</v>
      </c>
      <c r="J5" s="6">
        <f t="shared" si="15"/>
        <v>27127.953830078084</v>
      </c>
      <c r="K5" s="6">
        <f t="shared" si="15"/>
        <v>28443.659590836862</v>
      </c>
      <c r="L5" s="6">
        <f t="shared" si="15"/>
        <v>29823.177080992449</v>
      </c>
      <c r="M5" s="6">
        <f t="shared" si="15"/>
        <v>31269.601169420581</v>
      </c>
      <c r="N5" s="6">
        <f t="shared" si="15"/>
        <v>32786.176826137482</v>
      </c>
      <c r="O5" s="6">
        <f t="shared" si="15"/>
        <v>34376.306402205155</v>
      </c>
      <c r="P5" s="6">
        <f t="shared" si="15"/>
        <v>36043.557262712115</v>
      </c>
      <c r="Q5" s="6">
        <f t="shared" si="15"/>
        <v>37791.669789953652</v>
      </c>
      <c r="R5" s="6">
        <f>$D5-R4</f>
        <v>39624.565774766401</v>
      </c>
      <c r="S5" s="6">
        <f t="shared" ref="S5:Y5" si="16">$D5-S4</f>
        <v>41546.357214842574</v>
      </c>
      <c r="T5" s="6">
        <f t="shared" si="16"/>
        <v>43561.355539762444</v>
      </c>
      <c r="U5" s="6">
        <f t="shared" si="16"/>
        <v>45674.081283440923</v>
      </c>
      <c r="V5" s="6">
        <f t="shared" si="16"/>
        <v>47889.274225687805</v>
      </c>
      <c r="W5" s="6">
        <f t="shared" si="16"/>
        <v>50211.904025633667</v>
      </c>
      <c r="X5" s="6">
        <f t="shared" si="16"/>
        <v>52647.181370876897</v>
      </c>
      <c r="Y5" s="6">
        <f t="shared" si="16"/>
        <v>55200.569667364427</v>
      </c>
      <c r="Z5" s="6">
        <f t="shared" ref="Z5:AI5" si="17">$D5-Z4</f>
        <v>57877.797296231605</v>
      </c>
      <c r="AA5" s="6">
        <f t="shared" si="17"/>
        <v>60684.870465098837</v>
      </c>
      <c r="AB5" s="6">
        <f t="shared" si="17"/>
        <v>63628.086682656132</v>
      </c>
      <c r="AC5" s="6">
        <f t="shared" si="17"/>
        <v>66714.048886764955</v>
      </c>
      <c r="AD5" s="6">
        <f t="shared" si="17"/>
        <v>69949.680257773056</v>
      </c>
      <c r="AE5" s="6">
        <f t="shared" si="17"/>
        <v>73342.239750275039</v>
      </c>
      <c r="AF5" s="6">
        <f t="shared" si="17"/>
        <v>76899.338378163389</v>
      </c>
      <c r="AG5" s="6">
        <f t="shared" si="17"/>
        <v>80628.956289504305</v>
      </c>
      <c r="AH5" s="6">
        <f t="shared" si="17"/>
        <v>84539.460669545268</v>
      </c>
      <c r="AI5" s="6">
        <f t="shared" si="17"/>
        <v>88639.624512018214</v>
      </c>
    </row>
    <row r="6" spans="1:35" x14ac:dyDescent="0.25">
      <c r="B6" s="1"/>
      <c r="C6" s="2"/>
      <c r="D6" s="1"/>
      <c r="E6" s="2"/>
      <c r="F6" t="s">
        <v>76</v>
      </c>
    </row>
    <row r="7" spans="1:35" ht="13.8" x14ac:dyDescent="0.3">
      <c r="A7" s="43" t="str">
        <f>Ontwikkelfase!H24</f>
        <v>Leenfonds (Gemeente, VRO)</v>
      </c>
      <c r="B7" s="7">
        <f>Ontwikkelfase!C38</f>
        <v>500000</v>
      </c>
      <c r="C7" s="2"/>
      <c r="D7" s="1"/>
      <c r="E7" s="2" t="s">
        <v>72</v>
      </c>
      <c r="F7" s="3">
        <f>B7</f>
        <v>500000</v>
      </c>
      <c r="G7" s="3">
        <f>F7-F9</f>
        <v>488611.1796319118</v>
      </c>
      <c r="H7" s="3">
        <f t="shared" ref="H7" si="18">G7-G9</f>
        <v>476937.63875462138</v>
      </c>
      <c r="I7" s="3">
        <f t="shared" ref="I7" si="19">H7-H9</f>
        <v>464972.25935539871</v>
      </c>
      <c r="J7" s="3">
        <f t="shared" ref="J7" si="20">I7-I9</f>
        <v>452707.74547119543</v>
      </c>
      <c r="K7" s="3">
        <f t="shared" ref="K7" si="21">J7-J9</f>
        <v>440136.61873988708</v>
      </c>
      <c r="L7" s="3">
        <f t="shared" ref="L7" si="22">K7-K9</f>
        <v>427251.21384029603</v>
      </c>
      <c r="M7" s="3">
        <f t="shared" ref="M7" si="23">L7-L9</f>
        <v>414043.6738182152</v>
      </c>
      <c r="N7" s="3">
        <f t="shared" ref="N7" si="24">M7-M9</f>
        <v>400505.94529558235</v>
      </c>
      <c r="O7" s="3">
        <f t="shared" ref="O7" si="25">N7-N9</f>
        <v>386629.7735598837</v>
      </c>
      <c r="P7" s="3">
        <f t="shared" ref="P7" si="26">O7-O9</f>
        <v>372406.69753079256</v>
      </c>
      <c r="Q7" s="3">
        <f t="shared" ref="Q7" si="27">P7-P9</f>
        <v>357828.04460097413</v>
      </c>
      <c r="R7" s="3">
        <f t="shared" ref="R7" si="28">Q7-Q9</f>
        <v>342884.92534791026</v>
      </c>
      <c r="S7" s="3">
        <f t="shared" ref="S7" si="29">R7-R9</f>
        <v>327568.22811351978</v>
      </c>
      <c r="T7" s="3">
        <f t="shared" ref="T7" si="30">S7-S9</f>
        <v>311868.61344826955</v>
      </c>
      <c r="U7" s="3">
        <f t="shared" ref="U7" si="31">T7-T9</f>
        <v>295776.50841638807</v>
      </c>
      <c r="V7" s="3">
        <f t="shared" ref="V7" si="32">U7-U9</f>
        <v>279282.10075870954</v>
      </c>
      <c r="W7" s="3">
        <f t="shared" ref="W7" si="33">V7-V9</f>
        <v>262375.33290958905</v>
      </c>
      <c r="X7" s="3">
        <f t="shared" ref="X7" si="34">W7-W9</f>
        <v>245045.89586424053</v>
      </c>
      <c r="Y7" s="3">
        <f t="shared" ref="Y7" si="35">X7-X9</f>
        <v>227283.22289275832</v>
      </c>
      <c r="Z7" s="3">
        <f t="shared" ref="Z7" si="36">Y7-Y9</f>
        <v>209076.48309698905</v>
      </c>
      <c r="AA7" s="3">
        <f t="shared" ref="AA7" si="37">Z7-Z9</f>
        <v>190414.57480632555</v>
      </c>
      <c r="AB7" s="3">
        <f t="shared" ref="AB7" si="38">AA7-AA9</f>
        <v>171286.11880839546</v>
      </c>
      <c r="AC7" s="3">
        <f t="shared" ref="AC7" si="39">AB7-AB9</f>
        <v>151679.45141051713</v>
      </c>
      <c r="AD7" s="3">
        <f t="shared" ref="AD7" si="40">AC7-AC9</f>
        <v>131582.61732769181</v>
      </c>
      <c r="AE7" s="3">
        <f t="shared" ref="AE7" si="41">AD7-AD9</f>
        <v>110983.36239279588</v>
      </c>
      <c r="AF7" s="3">
        <f t="shared" ref="AF7" si="42">AE7-AE9</f>
        <v>89869.126084527554</v>
      </c>
      <c r="AG7" s="3">
        <f t="shared" ref="AG7" si="43">AF7-AF9</f>
        <v>68227.033868552506</v>
      </c>
      <c r="AH7" s="3">
        <f t="shared" ref="AH7" si="44">AG7-AG9</f>
        <v>46043.88934717809</v>
      </c>
      <c r="AI7" s="3">
        <f t="shared" ref="AI7" si="45">AH7-AH9</f>
        <v>23306.166212769313</v>
      </c>
    </row>
    <row r="8" spans="1:35" x14ac:dyDescent="0.25">
      <c r="B8" s="1">
        <v>30</v>
      </c>
      <c r="C8" s="2" t="s">
        <v>73</v>
      </c>
      <c r="D8" s="1"/>
      <c r="E8" s="2" t="s">
        <v>74</v>
      </c>
      <c r="F8" s="3">
        <f>F7*$B9</f>
        <v>12500</v>
      </c>
      <c r="G8" s="3">
        <f>G7*$B9</f>
        <v>12215.279490797795</v>
      </c>
      <c r="H8" s="3">
        <f t="shared" ref="H8:AI8" si="46">H7*$B9</f>
        <v>11923.440968865536</v>
      </c>
      <c r="I8" s="3">
        <f t="shared" si="46"/>
        <v>11624.306483884968</v>
      </c>
      <c r="J8" s="3">
        <f t="shared" si="46"/>
        <v>11317.693636779886</v>
      </c>
      <c r="K8" s="3">
        <f t="shared" si="46"/>
        <v>11003.415468497178</v>
      </c>
      <c r="L8" s="3">
        <f t="shared" si="46"/>
        <v>10681.280346007401</v>
      </c>
      <c r="M8" s="3">
        <f t="shared" si="46"/>
        <v>10351.091845455381</v>
      </c>
      <c r="N8" s="3">
        <f t="shared" si="46"/>
        <v>10012.648632389559</v>
      </c>
      <c r="O8" s="3">
        <f t="shared" si="46"/>
        <v>9665.7443389970922</v>
      </c>
      <c r="P8" s="3">
        <f t="shared" si="46"/>
        <v>9310.1674382698147</v>
      </c>
      <c r="Q8" s="3">
        <f t="shared" si="46"/>
        <v>8945.7011150243543</v>
      </c>
      <c r="R8" s="3">
        <f t="shared" si="46"/>
        <v>8572.1231336977562</v>
      </c>
      <c r="S8" s="3">
        <f t="shared" si="46"/>
        <v>8189.205702837995</v>
      </c>
      <c r="T8" s="3">
        <f t="shared" si="46"/>
        <v>7796.7153362067393</v>
      </c>
      <c r="U8" s="3">
        <f t="shared" si="46"/>
        <v>7394.4127104097024</v>
      </c>
      <c r="V8" s="3">
        <f t="shared" si="46"/>
        <v>6982.0525189677392</v>
      </c>
      <c r="W8" s="3">
        <f t="shared" si="46"/>
        <v>6559.3833227397263</v>
      </c>
      <c r="X8" s="3">
        <f t="shared" si="46"/>
        <v>6126.1473966060139</v>
      </c>
      <c r="Y8" s="3">
        <f t="shared" si="46"/>
        <v>5682.0805723189587</v>
      </c>
      <c r="Z8" s="3">
        <f t="shared" si="46"/>
        <v>5226.9120774247267</v>
      </c>
      <c r="AA8" s="3">
        <f t="shared" si="46"/>
        <v>4760.3643701581386</v>
      </c>
      <c r="AB8" s="3">
        <f t="shared" si="46"/>
        <v>4282.1529702098869</v>
      </c>
      <c r="AC8" s="3">
        <f t="shared" si="46"/>
        <v>3791.9862852629285</v>
      </c>
      <c r="AD8" s="3">
        <f t="shared" si="46"/>
        <v>3289.5654331922956</v>
      </c>
      <c r="AE8" s="3">
        <f t="shared" si="46"/>
        <v>2774.5840598198974</v>
      </c>
      <c r="AF8" s="3">
        <f t="shared" si="46"/>
        <v>2246.728152113189</v>
      </c>
      <c r="AG8" s="3">
        <f t="shared" si="46"/>
        <v>1705.6758467138127</v>
      </c>
      <c r="AH8" s="3">
        <f t="shared" si="46"/>
        <v>1151.0972336794523</v>
      </c>
      <c r="AI8" s="3">
        <f t="shared" si="46"/>
        <v>582.65415531923281</v>
      </c>
    </row>
    <row r="9" spans="1:35" x14ac:dyDescent="0.25">
      <c r="B9" s="4">
        <v>2.5000000000000001E-2</v>
      </c>
      <c r="C9" s="2" t="s">
        <v>32</v>
      </c>
      <c r="D9" s="5">
        <f>-PMT(B9,B8,B7)</f>
        <v>23888.820368088229</v>
      </c>
      <c r="E9" s="2" t="s">
        <v>75</v>
      </c>
      <c r="F9" s="6">
        <f>$D9-$F8</f>
        <v>11388.820368088229</v>
      </c>
      <c r="G9" s="6">
        <f>$D9-G8</f>
        <v>11673.540877290434</v>
      </c>
      <c r="H9" s="6">
        <f t="shared" ref="H9:AI9" si="47">$D9-H8</f>
        <v>11965.379399222693</v>
      </c>
      <c r="I9" s="6">
        <f t="shared" si="47"/>
        <v>12264.513884203261</v>
      </c>
      <c r="J9" s="6">
        <f t="shared" si="47"/>
        <v>12571.126731308343</v>
      </c>
      <c r="K9" s="6">
        <f t="shared" si="47"/>
        <v>12885.404899591051</v>
      </c>
      <c r="L9" s="6">
        <f t="shared" si="47"/>
        <v>13207.540022080828</v>
      </c>
      <c r="M9" s="6">
        <f t="shared" si="47"/>
        <v>13537.728522632848</v>
      </c>
      <c r="N9" s="6">
        <f t="shared" si="47"/>
        <v>13876.17173569867</v>
      </c>
      <c r="O9" s="6">
        <f t="shared" si="47"/>
        <v>14223.076029091137</v>
      </c>
      <c r="P9" s="6">
        <f t="shared" si="47"/>
        <v>14578.652929818414</v>
      </c>
      <c r="Q9" s="6">
        <f t="shared" si="47"/>
        <v>14943.119253063875</v>
      </c>
      <c r="R9" s="6">
        <f t="shared" si="47"/>
        <v>15316.697234390473</v>
      </c>
      <c r="S9" s="6">
        <f t="shared" si="47"/>
        <v>15699.614665250234</v>
      </c>
      <c r="T9" s="6">
        <f t="shared" si="47"/>
        <v>16092.105031881489</v>
      </c>
      <c r="U9" s="6">
        <f t="shared" si="47"/>
        <v>16494.407657678526</v>
      </c>
      <c r="V9" s="6">
        <f t="shared" si="47"/>
        <v>16906.76784912049</v>
      </c>
      <c r="W9" s="6">
        <f t="shared" si="47"/>
        <v>17329.437045348503</v>
      </c>
      <c r="X9" s="6">
        <f t="shared" si="47"/>
        <v>17762.672971482214</v>
      </c>
      <c r="Y9" s="6">
        <f t="shared" si="47"/>
        <v>18206.73979576927</v>
      </c>
      <c r="Z9" s="6">
        <f t="shared" si="47"/>
        <v>18661.908290663501</v>
      </c>
      <c r="AA9" s="6">
        <f t="shared" si="47"/>
        <v>19128.45599793009</v>
      </c>
      <c r="AB9" s="6">
        <f t="shared" si="47"/>
        <v>19606.667397878344</v>
      </c>
      <c r="AC9" s="6">
        <f t="shared" si="47"/>
        <v>20096.834082825299</v>
      </c>
      <c r="AD9" s="6">
        <f t="shared" si="47"/>
        <v>20599.254934895933</v>
      </c>
      <c r="AE9" s="6">
        <f t="shared" si="47"/>
        <v>21114.23630826833</v>
      </c>
      <c r="AF9" s="6">
        <f t="shared" si="47"/>
        <v>21642.092215975041</v>
      </c>
      <c r="AG9" s="6">
        <f t="shared" si="47"/>
        <v>22183.144521374415</v>
      </c>
      <c r="AH9" s="6">
        <f t="shared" si="47"/>
        <v>22737.723134408778</v>
      </c>
      <c r="AI9" s="6">
        <f t="shared" si="47"/>
        <v>23306.166212768996</v>
      </c>
    </row>
    <row r="10" spans="1:35" x14ac:dyDescent="0.25">
      <c r="B10" s="1"/>
      <c r="C10" s="2"/>
      <c r="D10" s="1"/>
      <c r="E10" s="2"/>
      <c r="F10" t="s">
        <v>76</v>
      </c>
    </row>
    <row r="11" spans="1:35" ht="13.8" x14ac:dyDescent="0.3">
      <c r="A11" s="43" t="str">
        <f>Ontwikkelfase!H28</f>
        <v>Solidariteitsfonds</v>
      </c>
      <c r="B11" s="7">
        <f>Ontwikkelfase!C39</f>
        <v>0</v>
      </c>
      <c r="C11" s="2"/>
      <c r="D11" s="1"/>
      <c r="E11" s="2" t="s">
        <v>72</v>
      </c>
      <c r="F11" s="3">
        <f>B11</f>
        <v>0</v>
      </c>
      <c r="G11" s="3">
        <f>F11-F13</f>
        <v>0</v>
      </c>
      <c r="H11" s="3">
        <f t="shared" ref="H11" si="48">G11-G13</f>
        <v>0</v>
      </c>
      <c r="I11" s="3">
        <f t="shared" ref="I11" si="49">H11-H13</f>
        <v>0</v>
      </c>
      <c r="J11" s="3">
        <f t="shared" ref="J11" si="50">I11-I13</f>
        <v>0</v>
      </c>
      <c r="K11" s="3">
        <f t="shared" ref="K11" si="51">J11-J13</f>
        <v>0</v>
      </c>
      <c r="L11" s="3">
        <f t="shared" ref="L11" si="52">K11-K13</f>
        <v>0</v>
      </c>
      <c r="M11" s="3">
        <f t="shared" ref="M11" si="53">L11-L13</f>
        <v>0</v>
      </c>
      <c r="N11" s="3">
        <f t="shared" ref="N11" si="54">M11-M13</f>
        <v>0</v>
      </c>
      <c r="O11" s="3">
        <f t="shared" ref="O11" si="55">N11-N13</f>
        <v>0</v>
      </c>
      <c r="P11" s="3">
        <f t="shared" ref="P11" si="56">O11-O13</f>
        <v>0</v>
      </c>
      <c r="Q11" s="3">
        <f t="shared" ref="Q11" si="57">P11-P13</f>
        <v>0</v>
      </c>
      <c r="R11" s="3">
        <f t="shared" ref="R11" si="58">Q11-Q13</f>
        <v>0</v>
      </c>
      <c r="S11" s="3">
        <f t="shared" ref="S11" si="59">R11-R13</f>
        <v>0</v>
      </c>
      <c r="T11" s="3">
        <f t="shared" ref="T11" si="60">S11-S13</f>
        <v>0</v>
      </c>
      <c r="U11" s="3">
        <f t="shared" ref="U11" si="61">T11-T13</f>
        <v>0</v>
      </c>
      <c r="V11" s="3">
        <f t="shared" ref="V11" si="62">U11-U13</f>
        <v>0</v>
      </c>
      <c r="W11" s="3">
        <f t="shared" ref="W11" si="63">V11-V13</f>
        <v>0</v>
      </c>
      <c r="X11" s="3">
        <f t="shared" ref="X11" si="64">W11-W13</f>
        <v>0</v>
      </c>
      <c r="Y11" s="3">
        <f t="shared" ref="Y11" si="65">X11-X13</f>
        <v>0</v>
      </c>
      <c r="Z11" s="3">
        <f t="shared" ref="Z11" si="66">Y11-Y13</f>
        <v>0</v>
      </c>
      <c r="AA11" s="3">
        <f t="shared" ref="AA11" si="67">Z11-Z13</f>
        <v>0</v>
      </c>
      <c r="AB11" s="3">
        <f t="shared" ref="AB11" si="68">AA11-AA13</f>
        <v>0</v>
      </c>
      <c r="AC11" s="3">
        <f t="shared" ref="AC11" si="69">AB11-AB13</f>
        <v>0</v>
      </c>
      <c r="AD11" s="3">
        <f t="shared" ref="AD11" si="70">AC11-AC13</f>
        <v>0</v>
      </c>
      <c r="AE11" s="3">
        <f t="shared" ref="AE11" si="71">AD11-AD13</f>
        <v>0</v>
      </c>
      <c r="AF11" s="3">
        <f t="shared" ref="AF11" si="72">AE11-AE13</f>
        <v>0</v>
      </c>
      <c r="AG11" s="3">
        <f t="shared" ref="AG11" si="73">AF11-AF13</f>
        <v>0</v>
      </c>
      <c r="AH11" s="3">
        <f t="shared" ref="AH11" si="74">AG11-AG13</f>
        <v>0</v>
      </c>
      <c r="AI11" s="3">
        <f t="shared" ref="AI11" si="75">AH11-AH13</f>
        <v>0</v>
      </c>
    </row>
    <row r="12" spans="1:35" x14ac:dyDescent="0.25">
      <c r="B12" s="1">
        <v>30</v>
      </c>
      <c r="C12" s="2" t="s">
        <v>73</v>
      </c>
      <c r="D12" s="1"/>
      <c r="E12" s="2" t="s">
        <v>74</v>
      </c>
      <c r="F12" s="3">
        <f>F11*$B13</f>
        <v>0</v>
      </c>
      <c r="G12" s="3">
        <f>G11*$B13</f>
        <v>0</v>
      </c>
      <c r="H12" s="3">
        <f t="shared" ref="H12:AI12" si="76">H11*$B13</f>
        <v>0</v>
      </c>
      <c r="I12" s="3">
        <f t="shared" si="76"/>
        <v>0</v>
      </c>
      <c r="J12" s="3">
        <f t="shared" si="76"/>
        <v>0</v>
      </c>
      <c r="K12" s="3">
        <f t="shared" si="76"/>
        <v>0</v>
      </c>
      <c r="L12" s="3">
        <f t="shared" si="76"/>
        <v>0</v>
      </c>
      <c r="M12" s="3">
        <f t="shared" si="76"/>
        <v>0</v>
      </c>
      <c r="N12" s="3">
        <f t="shared" si="76"/>
        <v>0</v>
      </c>
      <c r="O12" s="3">
        <f t="shared" si="76"/>
        <v>0</v>
      </c>
      <c r="P12" s="3">
        <f t="shared" si="76"/>
        <v>0</v>
      </c>
      <c r="Q12" s="3">
        <f t="shared" si="76"/>
        <v>0</v>
      </c>
      <c r="R12" s="3">
        <f t="shared" si="76"/>
        <v>0</v>
      </c>
      <c r="S12" s="3">
        <f t="shared" si="76"/>
        <v>0</v>
      </c>
      <c r="T12" s="3">
        <f t="shared" si="76"/>
        <v>0</v>
      </c>
      <c r="U12" s="3">
        <f t="shared" si="76"/>
        <v>0</v>
      </c>
      <c r="V12" s="3">
        <f t="shared" si="76"/>
        <v>0</v>
      </c>
      <c r="W12" s="3">
        <f t="shared" si="76"/>
        <v>0</v>
      </c>
      <c r="X12" s="3">
        <f t="shared" si="76"/>
        <v>0</v>
      </c>
      <c r="Y12" s="3">
        <f t="shared" si="76"/>
        <v>0</v>
      </c>
      <c r="Z12" s="3">
        <f t="shared" si="76"/>
        <v>0</v>
      </c>
      <c r="AA12" s="3">
        <f t="shared" si="76"/>
        <v>0</v>
      </c>
      <c r="AB12" s="3">
        <f t="shared" si="76"/>
        <v>0</v>
      </c>
      <c r="AC12" s="3">
        <f t="shared" si="76"/>
        <v>0</v>
      </c>
      <c r="AD12" s="3">
        <f t="shared" si="76"/>
        <v>0</v>
      </c>
      <c r="AE12" s="3">
        <f t="shared" si="76"/>
        <v>0</v>
      </c>
      <c r="AF12" s="3">
        <f t="shared" si="76"/>
        <v>0</v>
      </c>
      <c r="AG12" s="3">
        <f t="shared" si="76"/>
        <v>0</v>
      </c>
      <c r="AH12" s="3">
        <f t="shared" si="76"/>
        <v>0</v>
      </c>
      <c r="AI12" s="3">
        <f t="shared" si="76"/>
        <v>0</v>
      </c>
    </row>
    <row r="13" spans="1:35" x14ac:dyDescent="0.25">
      <c r="B13" s="4">
        <v>0.02</v>
      </c>
      <c r="C13" s="2" t="s">
        <v>32</v>
      </c>
      <c r="D13" s="5">
        <f>-PMT(B13,B12,B11)</f>
        <v>0</v>
      </c>
      <c r="E13" s="2" t="s">
        <v>75</v>
      </c>
      <c r="F13" s="6">
        <f>$D13-$F12</f>
        <v>0</v>
      </c>
      <c r="G13" s="6">
        <f>$D13-G12</f>
        <v>0</v>
      </c>
      <c r="H13" s="6">
        <f t="shared" ref="H13:AI13" si="77">$D13-H12</f>
        <v>0</v>
      </c>
      <c r="I13" s="6">
        <f t="shared" si="77"/>
        <v>0</v>
      </c>
      <c r="J13" s="6">
        <f t="shared" si="77"/>
        <v>0</v>
      </c>
      <c r="K13" s="6">
        <f t="shared" si="77"/>
        <v>0</v>
      </c>
      <c r="L13" s="6">
        <f t="shared" si="77"/>
        <v>0</v>
      </c>
      <c r="M13" s="6">
        <f t="shared" si="77"/>
        <v>0</v>
      </c>
      <c r="N13" s="6">
        <f t="shared" si="77"/>
        <v>0</v>
      </c>
      <c r="O13" s="6">
        <f t="shared" si="77"/>
        <v>0</v>
      </c>
      <c r="P13" s="6">
        <f t="shared" si="77"/>
        <v>0</v>
      </c>
      <c r="Q13" s="6">
        <f t="shared" si="77"/>
        <v>0</v>
      </c>
      <c r="R13" s="6">
        <f t="shared" si="77"/>
        <v>0</v>
      </c>
      <c r="S13" s="6">
        <f t="shared" si="77"/>
        <v>0</v>
      </c>
      <c r="T13" s="6">
        <f t="shared" si="77"/>
        <v>0</v>
      </c>
      <c r="U13" s="6">
        <f t="shared" si="77"/>
        <v>0</v>
      </c>
      <c r="V13" s="6">
        <f t="shared" si="77"/>
        <v>0</v>
      </c>
      <c r="W13" s="6">
        <f t="shared" si="77"/>
        <v>0</v>
      </c>
      <c r="X13" s="6">
        <f t="shared" si="77"/>
        <v>0</v>
      </c>
      <c r="Y13" s="6">
        <f t="shared" si="77"/>
        <v>0</v>
      </c>
      <c r="Z13" s="6">
        <f t="shared" si="77"/>
        <v>0</v>
      </c>
      <c r="AA13" s="6">
        <f t="shared" si="77"/>
        <v>0</v>
      </c>
      <c r="AB13" s="6">
        <f t="shared" si="77"/>
        <v>0</v>
      </c>
      <c r="AC13" s="6">
        <f t="shared" si="77"/>
        <v>0</v>
      </c>
      <c r="AD13" s="6">
        <f t="shared" si="77"/>
        <v>0</v>
      </c>
      <c r="AE13" s="6">
        <f t="shared" si="77"/>
        <v>0</v>
      </c>
      <c r="AF13" s="6">
        <f t="shared" si="77"/>
        <v>0</v>
      </c>
      <c r="AG13" s="6">
        <f t="shared" si="77"/>
        <v>0</v>
      </c>
      <c r="AH13" s="6">
        <f t="shared" si="77"/>
        <v>0</v>
      </c>
      <c r="AI13" s="6">
        <f t="shared" si="77"/>
        <v>0</v>
      </c>
    </row>
    <row r="14" spans="1:35" x14ac:dyDescent="0.25">
      <c r="B14" s="1"/>
      <c r="C14" s="2"/>
      <c r="D14" s="1"/>
      <c r="E14" s="2"/>
      <c r="F14" t="s">
        <v>76</v>
      </c>
    </row>
    <row r="15" spans="1:35" ht="13.8" x14ac:dyDescent="0.3">
      <c r="A15" s="43" t="str">
        <f>Ontwikkelfase!H32</f>
        <v>Inleg leden</v>
      </c>
      <c r="B15" s="7">
        <f>Ontwikkelfase!C40</f>
        <v>105000</v>
      </c>
      <c r="C15" s="2"/>
      <c r="D15" s="1"/>
      <c r="E15" s="2" t="s">
        <v>72</v>
      </c>
      <c r="F15" s="3">
        <f>B15</f>
        <v>105000</v>
      </c>
      <c r="G15" s="3">
        <f>F15-F17</f>
        <v>102411.75815919269</v>
      </c>
      <c r="H15" s="3">
        <f t="shared" ref="H15" si="78">G15-G17</f>
        <v>99771.751481569227</v>
      </c>
      <c r="I15" s="3">
        <f t="shared" ref="I15" si="79">H15-H17</f>
        <v>97078.944670393306</v>
      </c>
      <c r="J15" s="3">
        <f t="shared" ref="J15" si="80">I15-I17</f>
        <v>94332.281722993866</v>
      </c>
      <c r="K15" s="3">
        <f t="shared" ref="K15" si="81">J15-J17</f>
        <v>91530.685516646437</v>
      </c>
      <c r="L15" s="3">
        <f t="shared" ref="L15" si="82">K15-K17</f>
        <v>88673.057386172062</v>
      </c>
      <c r="M15" s="3">
        <f t="shared" ref="M15" si="83">L15-L17</f>
        <v>85758.276693088192</v>
      </c>
      <c r="N15" s="3">
        <f t="shared" ref="N15" si="84">M15-M17</f>
        <v>82785.200386142649</v>
      </c>
      <c r="O15" s="3">
        <f t="shared" ref="O15" si="85">N15-N17</f>
        <v>79752.662553058195</v>
      </c>
      <c r="P15" s="3">
        <f t="shared" ref="P15" si="86">O15-O17</f>
        <v>76659.473963312048</v>
      </c>
      <c r="Q15" s="3">
        <f t="shared" ref="Q15" si="87">P15-P17</f>
        <v>73504.421601770984</v>
      </c>
      <c r="R15" s="3">
        <f t="shared" ref="R15" si="88">Q15-Q17</f>
        <v>70286.268192999094</v>
      </c>
      <c r="S15" s="3">
        <f t="shared" ref="S15" si="89">R15-R17</f>
        <v>67003.75171605176</v>
      </c>
      <c r="T15" s="3">
        <f t="shared" ref="T15" si="90">S15-S17</f>
        <v>63655.584909565485</v>
      </c>
      <c r="U15" s="3">
        <f t="shared" ref="U15" si="91">T15-T17</f>
        <v>60240.454766949486</v>
      </c>
      <c r="V15" s="3">
        <f t="shared" ref="V15" si="92">U15-U17</f>
        <v>56757.022021481163</v>
      </c>
      <c r="W15" s="3">
        <f t="shared" ref="W15" si="93">V15-V17</f>
        <v>53203.920621103476</v>
      </c>
      <c r="X15" s="3">
        <f t="shared" ref="X15" si="94">W15-W17</f>
        <v>49579.757192718236</v>
      </c>
      <c r="Y15" s="3">
        <f t="shared" ref="Y15" si="95">X15-X17</f>
        <v>45883.110495765293</v>
      </c>
      <c r="Z15" s="3">
        <f t="shared" ref="Z15" si="96">Y15-Y17</f>
        <v>42112.53086487329</v>
      </c>
      <c r="AA15" s="3">
        <f t="shared" ref="AA15" si="97">Z15-Z17</f>
        <v>38266.539641363444</v>
      </c>
      <c r="AB15" s="3">
        <f t="shared" ref="AB15" si="98">AA15-AA17</f>
        <v>34343.628593383401</v>
      </c>
      <c r="AC15" s="3">
        <f t="shared" ref="AC15" si="99">AB15-AB17</f>
        <v>30342.259324443759</v>
      </c>
      <c r="AD15" s="3">
        <f t="shared" ref="AD15" si="100">AC15-AC17</f>
        <v>26260.862670125323</v>
      </c>
      <c r="AE15" s="3">
        <f t="shared" ref="AE15" si="101">AD15-AD17</f>
        <v>22097.838082720518</v>
      </c>
      <c r="AF15" s="3">
        <f t="shared" ref="AF15" si="102">AE15-AE17</f>
        <v>17851.553003567617</v>
      </c>
      <c r="AG15" s="3">
        <f t="shared" ref="AG15" si="103">AF15-AF17</f>
        <v>13520.342222831658</v>
      </c>
      <c r="AH15" s="3">
        <f t="shared" ref="AH15" si="104">AG15-AG17</f>
        <v>9102.5072264809787</v>
      </c>
      <c r="AI15" s="3">
        <f t="shared" ref="AI15" si="105">AH15-AH17</f>
        <v>4596.3155302032874</v>
      </c>
    </row>
    <row r="16" spans="1:35" x14ac:dyDescent="0.25">
      <c r="B16" s="1">
        <v>30</v>
      </c>
      <c r="C16" s="2" t="s">
        <v>73</v>
      </c>
      <c r="D16" s="1"/>
      <c r="E16" s="2" t="s">
        <v>74</v>
      </c>
      <c r="F16" s="3">
        <f>F15*$B17</f>
        <v>2100</v>
      </c>
      <c r="G16" s="3">
        <f>G15*$B17</f>
        <v>2048.2351631838537</v>
      </c>
      <c r="H16" s="3">
        <f t="shared" ref="H16:AI16" si="106">H15*$B17</f>
        <v>1995.4350296313846</v>
      </c>
      <c r="I16" s="3">
        <f t="shared" si="106"/>
        <v>1941.5788934078662</v>
      </c>
      <c r="J16" s="3">
        <f t="shared" si="106"/>
        <v>1886.6456344598773</v>
      </c>
      <c r="K16" s="3">
        <f t="shared" si="106"/>
        <v>1830.6137103329288</v>
      </c>
      <c r="L16" s="3">
        <f t="shared" si="106"/>
        <v>1773.4611477234412</v>
      </c>
      <c r="M16" s="3">
        <f t="shared" si="106"/>
        <v>1715.1655338617638</v>
      </c>
      <c r="N16" s="3">
        <f t="shared" si="106"/>
        <v>1655.704007722853</v>
      </c>
      <c r="O16" s="3">
        <f t="shared" si="106"/>
        <v>1595.053251061164</v>
      </c>
      <c r="P16" s="3">
        <f t="shared" si="106"/>
        <v>1533.1894792662411</v>
      </c>
      <c r="Q16" s="3">
        <f t="shared" si="106"/>
        <v>1470.0884320354196</v>
      </c>
      <c r="R16" s="3">
        <f t="shared" si="106"/>
        <v>1405.7253638599818</v>
      </c>
      <c r="S16" s="3">
        <f t="shared" si="106"/>
        <v>1340.0750343210352</v>
      </c>
      <c r="T16" s="3">
        <f t="shared" si="106"/>
        <v>1273.1116981913096</v>
      </c>
      <c r="U16" s="3">
        <f t="shared" si="106"/>
        <v>1204.8090953389897</v>
      </c>
      <c r="V16" s="3">
        <f t="shared" si="106"/>
        <v>1135.1404404296234</v>
      </c>
      <c r="W16" s="3">
        <f t="shared" si="106"/>
        <v>1064.0784124220695</v>
      </c>
      <c r="X16" s="3">
        <f t="shared" si="106"/>
        <v>991.59514385436478</v>
      </c>
      <c r="Y16" s="3">
        <f t="shared" si="106"/>
        <v>917.66220991530588</v>
      </c>
      <c r="Z16" s="3">
        <f t="shared" si="106"/>
        <v>842.25061729746585</v>
      </c>
      <c r="AA16" s="3">
        <f t="shared" si="106"/>
        <v>765.33079282726885</v>
      </c>
      <c r="AB16" s="3">
        <f t="shared" si="106"/>
        <v>686.87257186766806</v>
      </c>
      <c r="AC16" s="3">
        <f t="shared" si="106"/>
        <v>606.84518648887524</v>
      </c>
      <c r="AD16" s="3">
        <f t="shared" si="106"/>
        <v>525.21725340250646</v>
      </c>
      <c r="AE16" s="3">
        <f t="shared" si="106"/>
        <v>441.9567616544104</v>
      </c>
      <c r="AF16" s="3">
        <f t="shared" si="106"/>
        <v>357.03106007135233</v>
      </c>
      <c r="AG16" s="3">
        <f t="shared" si="106"/>
        <v>270.40684445663317</v>
      </c>
      <c r="AH16" s="3">
        <f t="shared" si="106"/>
        <v>182.05014452961959</v>
      </c>
      <c r="AI16" s="3">
        <f t="shared" si="106"/>
        <v>91.926310604065748</v>
      </c>
    </row>
    <row r="17" spans="1:35" x14ac:dyDescent="0.25">
      <c r="B17" s="4">
        <v>0.02</v>
      </c>
      <c r="C17" s="2" t="s">
        <v>32</v>
      </c>
      <c r="D17" s="5">
        <f>-PMT(B17,B16,B15)</f>
        <v>4688.2418408073108</v>
      </c>
      <c r="E17" s="2" t="s">
        <v>75</v>
      </c>
      <c r="F17" s="6">
        <f>$D17-$F16</f>
        <v>2588.2418408073108</v>
      </c>
      <c r="G17" s="6">
        <f>$D17-G16</f>
        <v>2640.0066776234571</v>
      </c>
      <c r="H17" s="6">
        <f t="shared" ref="H17:AI17" si="107">$D17-H16</f>
        <v>2692.8068111759262</v>
      </c>
      <c r="I17" s="6">
        <f t="shared" si="107"/>
        <v>2746.6629473994444</v>
      </c>
      <c r="J17" s="6">
        <f t="shared" si="107"/>
        <v>2801.5962063474335</v>
      </c>
      <c r="K17" s="6">
        <f t="shared" si="107"/>
        <v>2857.628130474382</v>
      </c>
      <c r="L17" s="6">
        <f t="shared" si="107"/>
        <v>2914.7806930838697</v>
      </c>
      <c r="M17" s="6">
        <f t="shared" si="107"/>
        <v>2973.076306945547</v>
      </c>
      <c r="N17" s="6">
        <f t="shared" si="107"/>
        <v>3032.5378330844578</v>
      </c>
      <c r="O17" s="6">
        <f t="shared" si="107"/>
        <v>3093.188589746147</v>
      </c>
      <c r="P17" s="6">
        <f t="shared" si="107"/>
        <v>3155.0523615410698</v>
      </c>
      <c r="Q17" s="6">
        <f t="shared" si="107"/>
        <v>3218.153408771891</v>
      </c>
      <c r="R17" s="6">
        <f t="shared" si="107"/>
        <v>3282.516476947329</v>
      </c>
      <c r="S17" s="6">
        <f t="shared" si="107"/>
        <v>3348.1668064862756</v>
      </c>
      <c r="T17" s="6">
        <f t="shared" si="107"/>
        <v>3415.1301426160012</v>
      </c>
      <c r="U17" s="6">
        <f t="shared" si="107"/>
        <v>3483.4327454683212</v>
      </c>
      <c r="V17" s="6">
        <f t="shared" si="107"/>
        <v>3553.1014003776872</v>
      </c>
      <c r="W17" s="6">
        <f t="shared" si="107"/>
        <v>3624.1634283852413</v>
      </c>
      <c r="X17" s="6">
        <f t="shared" si="107"/>
        <v>3696.6466969529461</v>
      </c>
      <c r="Y17" s="6">
        <f t="shared" si="107"/>
        <v>3770.5796308920048</v>
      </c>
      <c r="Z17" s="6">
        <f t="shared" si="107"/>
        <v>3845.991223509845</v>
      </c>
      <c r="AA17" s="6">
        <f t="shared" si="107"/>
        <v>3922.911047980042</v>
      </c>
      <c r="AB17" s="6">
        <f t="shared" si="107"/>
        <v>4001.369268939643</v>
      </c>
      <c r="AC17" s="6">
        <f t="shared" si="107"/>
        <v>4081.3966543184356</v>
      </c>
      <c r="AD17" s="6">
        <f t="shared" si="107"/>
        <v>4163.0245874048042</v>
      </c>
      <c r="AE17" s="6">
        <f t="shared" si="107"/>
        <v>4246.2850791529008</v>
      </c>
      <c r="AF17" s="6">
        <f t="shared" si="107"/>
        <v>4331.2107807359589</v>
      </c>
      <c r="AG17" s="6">
        <f t="shared" si="107"/>
        <v>4417.834996350678</v>
      </c>
      <c r="AH17" s="6">
        <f t="shared" si="107"/>
        <v>4506.1916962776913</v>
      </c>
      <c r="AI17" s="6">
        <f t="shared" si="107"/>
        <v>4596.3155302032446</v>
      </c>
    </row>
    <row r="18" spans="1:35" x14ac:dyDescent="0.25">
      <c r="B18" s="1"/>
      <c r="C18" s="2"/>
      <c r="D18" s="1"/>
      <c r="E18" s="2"/>
      <c r="F18" t="s">
        <v>76</v>
      </c>
    </row>
    <row r="19" spans="1:35" ht="13.8" x14ac:dyDescent="0.3">
      <c r="A19" s="43" t="s">
        <v>92</v>
      </c>
      <c r="B19" s="7">
        <f>Ontwikkelfase!C41</f>
        <v>200000</v>
      </c>
      <c r="C19" s="2"/>
      <c r="D19" s="1"/>
      <c r="E19" s="2" t="s">
        <v>72</v>
      </c>
      <c r="F19" s="3">
        <f>B19</f>
        <v>200000</v>
      </c>
      <c r="G19" s="3">
        <f>F19-F21</f>
        <v>195070.01554131942</v>
      </c>
      <c r="H19" s="3">
        <f t="shared" ref="H19:AI19" si="108">G19-G21</f>
        <v>190041.4313934652</v>
      </c>
      <c r="I19" s="3">
        <f t="shared" si="108"/>
        <v>184912.2755626539</v>
      </c>
      <c r="J19" s="3">
        <f t="shared" si="108"/>
        <v>179680.53661522639</v>
      </c>
      <c r="K19" s="3">
        <f t="shared" si="108"/>
        <v>174344.16288885032</v>
      </c>
      <c r="L19" s="3">
        <f t="shared" si="108"/>
        <v>168901.06168794673</v>
      </c>
      <c r="M19" s="3">
        <f t="shared" si="108"/>
        <v>163349.09846302506</v>
      </c>
      <c r="N19" s="3">
        <f t="shared" si="108"/>
        <v>157686.09597360497</v>
      </c>
      <c r="O19" s="3">
        <f t="shared" si="108"/>
        <v>151909.83343439648</v>
      </c>
      <c r="P19" s="3">
        <f t="shared" si="108"/>
        <v>146018.04564440381</v>
      </c>
      <c r="Q19" s="3">
        <f t="shared" si="108"/>
        <v>140008.42209861131</v>
      </c>
      <c r="R19" s="3">
        <f t="shared" si="108"/>
        <v>133878.60608190295</v>
      </c>
      <c r="S19" s="3">
        <f t="shared" si="108"/>
        <v>127626.19374486041</v>
      </c>
      <c r="T19" s="3">
        <f t="shared" si="108"/>
        <v>121248.73316107703</v>
      </c>
      <c r="U19" s="3">
        <f t="shared" si="108"/>
        <v>114743.72336561799</v>
      </c>
      <c r="V19" s="3">
        <f t="shared" si="108"/>
        <v>108108.61337424976</v>
      </c>
      <c r="W19" s="3">
        <f t="shared" si="108"/>
        <v>101340.80118305417</v>
      </c>
      <c r="X19" s="3">
        <f t="shared" si="108"/>
        <v>94437.632748034652</v>
      </c>
      <c r="Y19" s="3">
        <f t="shared" si="108"/>
        <v>87396.400944314752</v>
      </c>
      <c r="Z19" s="3">
        <f t="shared" si="108"/>
        <v>80214.344504520457</v>
      </c>
      <c r="AA19" s="3">
        <f t="shared" si="108"/>
        <v>72888.646935930272</v>
      </c>
      <c r="AB19" s="3">
        <f t="shared" si="108"/>
        <v>65416.435415968284</v>
      </c>
      <c r="AC19" s="3">
        <f t="shared" si="108"/>
        <v>57794.779665607057</v>
      </c>
      <c r="AD19" s="3">
        <f t="shared" si="108"/>
        <v>50020.690800238604</v>
      </c>
      <c r="AE19" s="3">
        <f t="shared" si="108"/>
        <v>42091.120157562786</v>
      </c>
      <c r="AF19" s="3">
        <f t="shared" si="108"/>
        <v>34002.958102033452</v>
      </c>
      <c r="AG19" s="3">
        <f t="shared" si="108"/>
        <v>25753.03280539353</v>
      </c>
      <c r="AH19" s="3">
        <f t="shared" si="108"/>
        <v>17338.109002820809</v>
      </c>
      <c r="AI19" s="3">
        <f t="shared" si="108"/>
        <v>8754.8867241966327</v>
      </c>
    </row>
    <row r="20" spans="1:35" x14ac:dyDescent="0.25">
      <c r="B20" s="1">
        <v>30</v>
      </c>
      <c r="C20" s="2" t="s">
        <v>73</v>
      </c>
      <c r="D20" s="1"/>
      <c r="E20" s="2" t="s">
        <v>74</v>
      </c>
      <c r="F20" s="3">
        <f>F19*$B21</f>
        <v>4000</v>
      </c>
      <c r="G20" s="3">
        <f>G19*$B21</f>
        <v>3901.4003108263882</v>
      </c>
      <c r="H20" s="3">
        <f t="shared" ref="H20:AI20" si="109">H19*$B21</f>
        <v>3800.828627869304</v>
      </c>
      <c r="I20" s="3">
        <f t="shared" si="109"/>
        <v>3698.2455112530779</v>
      </c>
      <c r="J20" s="3">
        <f t="shared" si="109"/>
        <v>3593.610732304528</v>
      </c>
      <c r="K20" s="3">
        <f t="shared" si="109"/>
        <v>3486.8832577770063</v>
      </c>
      <c r="L20" s="3">
        <f t="shared" si="109"/>
        <v>3378.0212337589346</v>
      </c>
      <c r="M20" s="3">
        <f t="shared" si="109"/>
        <v>3266.9819692605015</v>
      </c>
      <c r="N20" s="3">
        <f t="shared" si="109"/>
        <v>3153.7219194720997</v>
      </c>
      <c r="O20" s="3">
        <f t="shared" si="109"/>
        <v>3038.1966686879296</v>
      </c>
      <c r="P20" s="3">
        <f t="shared" si="109"/>
        <v>2920.3609128880762</v>
      </c>
      <c r="Q20" s="3">
        <f t="shared" si="109"/>
        <v>2800.168441972226</v>
      </c>
      <c r="R20" s="3">
        <f t="shared" si="109"/>
        <v>2677.5721216380589</v>
      </c>
      <c r="S20" s="3">
        <f t="shared" si="109"/>
        <v>2552.5238748972083</v>
      </c>
      <c r="T20" s="3">
        <f t="shared" si="109"/>
        <v>2424.9746632215406</v>
      </c>
      <c r="U20" s="3">
        <f t="shared" si="109"/>
        <v>2294.8744673123597</v>
      </c>
      <c r="V20" s="3">
        <f t="shared" si="109"/>
        <v>2162.1722674849952</v>
      </c>
      <c r="W20" s="3">
        <f t="shared" si="109"/>
        <v>2026.8160236610834</v>
      </c>
      <c r="X20" s="3">
        <f t="shared" si="109"/>
        <v>1888.752654960693</v>
      </c>
      <c r="Y20" s="3">
        <f t="shared" si="109"/>
        <v>1747.9280188862951</v>
      </c>
      <c r="Z20" s="3">
        <f t="shared" si="109"/>
        <v>1604.2868900904091</v>
      </c>
      <c r="AA20" s="3">
        <f t="shared" si="109"/>
        <v>1457.7729387186055</v>
      </c>
      <c r="AB20" s="3">
        <f t="shared" si="109"/>
        <v>1308.3287083193657</v>
      </c>
      <c r="AC20" s="3">
        <f t="shared" si="109"/>
        <v>1155.8955933121413</v>
      </c>
      <c r="AD20" s="3">
        <f t="shared" si="109"/>
        <v>1000.4138160047721</v>
      </c>
      <c r="AE20" s="3">
        <f t="shared" si="109"/>
        <v>841.82240315125568</v>
      </c>
      <c r="AF20" s="3">
        <f t="shared" si="109"/>
        <v>680.05916204066909</v>
      </c>
      <c r="AG20" s="3">
        <f t="shared" si="109"/>
        <v>515.06065610787061</v>
      </c>
      <c r="AH20" s="3">
        <f t="shared" si="109"/>
        <v>346.76218005641618</v>
      </c>
      <c r="AI20" s="3">
        <f t="shared" si="109"/>
        <v>175.09773448393267</v>
      </c>
    </row>
    <row r="21" spans="1:35" x14ac:dyDescent="0.25">
      <c r="B21" s="4">
        <f>Ontwikkelfase!E41</f>
        <v>0.02</v>
      </c>
      <c r="C21" s="2" t="s">
        <v>32</v>
      </c>
      <c r="D21" s="5">
        <f>-PMT(B21,B20,B19)</f>
        <v>8929.9844586805921</v>
      </c>
      <c r="E21" s="2" t="s">
        <v>75</v>
      </c>
      <c r="F21" s="6">
        <f>$D21-$F20</f>
        <v>4929.9844586805921</v>
      </c>
      <c r="G21" s="6">
        <f>$D21-G20</f>
        <v>5028.5841478542043</v>
      </c>
      <c r="H21" s="6">
        <f t="shared" ref="H21:AI21" si="110">$D21-H20</f>
        <v>5129.1558308112881</v>
      </c>
      <c r="I21" s="6">
        <f t="shared" si="110"/>
        <v>5231.7389474275142</v>
      </c>
      <c r="J21" s="6">
        <f t="shared" si="110"/>
        <v>5336.373726376064</v>
      </c>
      <c r="K21" s="6">
        <f t="shared" si="110"/>
        <v>5443.1012009035858</v>
      </c>
      <c r="L21" s="6">
        <f t="shared" si="110"/>
        <v>5551.9632249216575</v>
      </c>
      <c r="M21" s="6">
        <f t="shared" si="110"/>
        <v>5663.0024894200906</v>
      </c>
      <c r="N21" s="6">
        <f t="shared" si="110"/>
        <v>5776.2625392084919</v>
      </c>
      <c r="O21" s="6">
        <f t="shared" si="110"/>
        <v>5891.7877899926625</v>
      </c>
      <c r="P21" s="6">
        <f t="shared" si="110"/>
        <v>6009.6235457925159</v>
      </c>
      <c r="Q21" s="6">
        <f t="shared" si="110"/>
        <v>6129.8160167083661</v>
      </c>
      <c r="R21" s="6">
        <f t="shared" si="110"/>
        <v>6252.4123370425332</v>
      </c>
      <c r="S21" s="6">
        <f t="shared" si="110"/>
        <v>6377.4605837833842</v>
      </c>
      <c r="T21" s="6">
        <f t="shared" si="110"/>
        <v>6505.009795459051</v>
      </c>
      <c r="U21" s="6">
        <f t="shared" si="110"/>
        <v>6635.1099913682319</v>
      </c>
      <c r="V21" s="6">
        <f t="shared" si="110"/>
        <v>6767.8121911955968</v>
      </c>
      <c r="W21" s="6">
        <f t="shared" si="110"/>
        <v>6903.1684350195083</v>
      </c>
      <c r="X21" s="6">
        <f t="shared" si="110"/>
        <v>7041.2318037198993</v>
      </c>
      <c r="Y21" s="6">
        <f t="shared" si="110"/>
        <v>7182.0564397942971</v>
      </c>
      <c r="Z21" s="6">
        <f t="shared" si="110"/>
        <v>7325.6975685901834</v>
      </c>
      <c r="AA21" s="6">
        <f t="shared" si="110"/>
        <v>7472.2115199619866</v>
      </c>
      <c r="AB21" s="6">
        <f t="shared" si="110"/>
        <v>7621.6557503612266</v>
      </c>
      <c r="AC21" s="6">
        <f t="shared" si="110"/>
        <v>7774.0888653684506</v>
      </c>
      <c r="AD21" s="6">
        <f t="shared" si="110"/>
        <v>7929.5706426758197</v>
      </c>
      <c r="AE21" s="6">
        <f t="shared" si="110"/>
        <v>8088.1620555293366</v>
      </c>
      <c r="AF21" s="6">
        <f t="shared" si="110"/>
        <v>8249.9252966399235</v>
      </c>
      <c r="AG21" s="6">
        <f t="shared" si="110"/>
        <v>8414.9238025727209</v>
      </c>
      <c r="AH21" s="6">
        <f t="shared" si="110"/>
        <v>8583.2222786241764</v>
      </c>
      <c r="AI21" s="6">
        <f t="shared" si="110"/>
        <v>8754.88672419666</v>
      </c>
    </row>
    <row r="22" spans="1:35" x14ac:dyDescent="0.25">
      <c r="B22" s="1"/>
      <c r="C22" s="2"/>
      <c r="D22" s="1"/>
      <c r="E22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C0F54C95160A48B491FFF523EA232B" ma:contentTypeVersion="18" ma:contentTypeDescription="Een nieuw document maken." ma:contentTypeScope="" ma:versionID="edc39110ff811850b1d72fc3c046fd84">
  <xsd:schema xmlns:xsd="http://www.w3.org/2001/XMLSchema" xmlns:xs="http://www.w3.org/2001/XMLSchema" xmlns:p="http://schemas.microsoft.com/office/2006/metadata/properties" xmlns:ns2="acf83b68-8594-429e-91ee-908c17024a9c" xmlns:ns3="d3e54b1f-d507-49f2-b6e2-e98bd3780bbf" targetNamespace="http://schemas.microsoft.com/office/2006/metadata/properties" ma:root="true" ma:fieldsID="b5aa841319f4823c319f4d117c164f2f" ns2:_="" ns3:_="">
    <xsd:import namespace="acf83b68-8594-429e-91ee-908c17024a9c"/>
    <xsd:import namespace="d3e54b1f-d507-49f2-b6e2-e98bd3780b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83b68-8594-429e-91ee-908c17024a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816ba437-7904-4fa6-9d71-6b8aa4d272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54b1f-d507-49f2-b6e2-e98bd3780bb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5fbf42-958b-4fb0-87b8-bf0be4e9f48b}" ma:internalName="TaxCatchAll" ma:showField="CatchAllData" ma:web="d3e54b1f-d507-49f2-b6e2-e98bd3780b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f83b68-8594-429e-91ee-908c17024a9c">
      <Terms xmlns="http://schemas.microsoft.com/office/infopath/2007/PartnerControls"/>
    </lcf76f155ced4ddcb4097134ff3c332f>
    <TaxCatchAll xmlns="d3e54b1f-d507-49f2-b6e2-e98bd3780bb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19AFB6-F6E9-4E9E-BED0-5C69DE5907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f83b68-8594-429e-91ee-908c17024a9c"/>
    <ds:schemaRef ds:uri="d3e54b1f-d507-49f2-b6e2-e98bd3780b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93E71F-0497-4EDE-B215-D326A8CD7300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acf83b68-8594-429e-91ee-908c17024a9c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3e54b1f-d507-49f2-b6e2-e98bd3780bbf"/>
  </ds:schemaRefs>
</ds:datastoreItem>
</file>

<file path=customXml/itemProps3.xml><?xml version="1.0" encoding="utf-8"?>
<ds:datastoreItem xmlns:ds="http://schemas.openxmlformats.org/officeDocument/2006/customXml" ds:itemID="{D0EEA4E2-C90D-43FD-96DC-C801BD3694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Ontwikkelfase</vt:lpstr>
      <vt:lpstr>Annuiteiten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mustapha eaisaouiyen</cp:lastModifiedBy>
  <cp:revision/>
  <dcterms:created xsi:type="dcterms:W3CDTF">2023-04-19T13:02:54Z</dcterms:created>
  <dcterms:modified xsi:type="dcterms:W3CDTF">2025-02-25T16:50:26Z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0x0101001FC0F54C95160A48B491FFF523EA232B</vt:lpwstr>
  </property>
  <property fmtid="{D5CDD505-2E9C-101B-9397-08002B2CF9AE}" pid="3" name="MediaServiceImageTags">
    <vt:lpwstr/>
  </property>
</Properties>
</file>